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488" windowHeight="9540" activeTab="1"/>
  </bookViews>
  <sheets>
    <sheet name="Directions" sheetId="1" r:id="rId1"/>
    <sheet name="Analysis" sheetId="2" r:id="rId2"/>
  </sheets>
  <definedNames>
    <definedName name="ann_cost">'Analysis'!$G$20</definedName>
    <definedName name="ann_income">'Analysis'!$G$23</definedName>
    <definedName name="Annual_Costs">SUM('Analysis'!$A$11:$A$15)</definedName>
    <definedName name="annual_insp">'Analysis'!$A$13</definedName>
    <definedName name="anscount" hidden="1">2</definedName>
    <definedName name="budget">'Analysis'!$A$29</definedName>
    <definedName name="capital_impr">'Analysis'!$A$14</definedName>
    <definedName name="dev">'Analysis'!$A$32</definedName>
    <definedName name="down">'Analysis'!$A$6</definedName>
    <definedName name="dues">'Analysis'!$D$21</definedName>
    <definedName name="dues_once">'Analysis'!$D$18</definedName>
    <definedName name="eff_price">'Analysis'!$A$9</definedName>
    <definedName name="fuel_burn">'Analysis'!$A$27</definedName>
    <definedName name="fuel_cost">'Analysis'!$A$26</definedName>
    <definedName name="hours">'Analysis'!$G$5</definedName>
    <definedName name="hundred_hour">'Analysis'!$A$21</definedName>
    <definedName name="insurance">'Analysis'!$A$11</definedName>
    <definedName name="limcount" hidden="1">1</definedName>
    <definedName name="loan_cost">'Analysis'!$G$30</definedName>
    <definedName name="mem_hours">'Analysis'!$D$6</definedName>
    <definedName name="mem_loan">'Analysis'!$D$22</definedName>
    <definedName name="member_down_required">'Analysis'!$D$19</definedName>
    <definedName name="member_net">'Analysis'!$D$23</definedName>
    <definedName name="member_perhour_cost">'Analysis'!$D$24</definedName>
    <definedName name="Monthly_costs">SUM('Analysis'!$A$17:$A$18)*12</definedName>
    <definedName name="net">'Analysis'!$G$24</definedName>
    <definedName name="number">'Analysis'!$D$5</definedName>
    <definedName name="number_members">'Analysis'!$D$5</definedName>
    <definedName name="other_ann">'Analysis'!$A$15</definedName>
    <definedName name="other_mnth">'Analysis'!$A$18</definedName>
    <definedName name="other_one">'Analysis'!$A$7</definedName>
    <definedName name="other_perhour">'Analysis'!$A$22</definedName>
    <definedName name="own_type">'Analysis'!$I$3-1</definedName>
    <definedName name="owner_down_required">'Analysis'!$D$27</definedName>
    <definedName name="owner_hours">'Analysis'!$D$11</definedName>
    <definedName name="owner_net">'Analysis'!$D$28</definedName>
    <definedName name="owner_perhour_cost">'Analysis'!$D$30</definedName>
    <definedName name="owners">'Analysis'!$D$10</definedName>
    <definedName name="per_hour_cost">'Analysis'!$A$24</definedName>
    <definedName name="price">'Analysis'!$A$5</definedName>
    <definedName name="_xlnm.Print_Area" localSheetId="0">'Directions'!$A$1:$C$79</definedName>
    <definedName name="rent_rate">'Analysis'!$D$7</definedName>
    <definedName name="scenario">'Analysis'!$C$1</definedName>
    <definedName name="sencount" hidden="1">1</definedName>
    <definedName name="solver_adj" localSheetId="1" hidden="1">'Analysis'!$D$6,'Analysis'!$D$5</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hs1" localSheetId="1" hidden="1">'Analysis'!$D$5</definedName>
    <definedName name="solver_lin" localSheetId="1" hidden="1">2</definedName>
    <definedName name="solver_neg" localSheetId="1" hidden="1">2</definedName>
    <definedName name="solver_num" localSheetId="1" hidden="1">1</definedName>
    <definedName name="solver_nwt" localSheetId="1" hidden="1">1</definedName>
    <definedName name="solver_opt" localSheetId="1" hidden="1">'Analysis'!$A$31</definedName>
    <definedName name="solver_pre" localSheetId="1" hidden="1">0.000001</definedName>
    <definedName name="solver_rel1" localSheetId="1" hidden="1">1</definedName>
    <definedName name="solver_rhs1" localSheetId="1" hidden="1">8</definedName>
    <definedName name="solver_scl" localSheetId="1" hidden="1">2</definedName>
    <definedName name="solver_sho" localSheetId="1" hidden="1">2</definedName>
    <definedName name="solver_tim" localSheetId="1" hidden="1">5</definedName>
    <definedName name="solver_tol" localSheetId="1" hidden="1">0.05</definedName>
    <definedName name="solver_typ" localSheetId="1" hidden="1">3</definedName>
    <definedName name="solver_val" localSheetId="1" hidden="1">0</definedName>
    <definedName name="tax">'Analysis'!$A$12</definedName>
    <definedName name="tbo">'Analysis'!$A$23</definedName>
    <definedName name="tbo_cost">'Analysis'!$A$20</definedName>
    <definedName name="tiedown_mnth">'Analysis'!$A$17</definedName>
    <definedName name="tsmoh">'Analysis'!$A$8</definedName>
    <definedName name="Z_9FB7C0C2_D377_4862_97DC_21FE735B7E69_.wvu.PrintArea" localSheetId="0" hidden="1">'Directions'!$A$1:$C$79</definedName>
  </definedNames>
  <calcPr fullCalcOnLoad="1"/>
</workbook>
</file>

<file path=xl/comments2.xml><?xml version="1.0" encoding="utf-8"?>
<comments xmlns="http://schemas.openxmlformats.org/spreadsheetml/2006/main">
  <authors>
    <author>Alan Hoffler</author>
  </authors>
  <commentList>
    <comment ref="D2" authorId="0">
      <text>
        <r>
          <rPr>
            <sz val="10"/>
            <rFont val="Tahoma"/>
            <family val="2"/>
          </rPr>
          <t>To select a scenario, click on the button.  To alter a scenario, check the instructions in the cell to the right.</t>
        </r>
      </text>
    </comment>
    <comment ref="E2" authorId="0">
      <text>
        <r>
          <rPr>
            <b/>
            <sz val="10"/>
            <rFont val="Tahoma"/>
            <family val="2"/>
          </rPr>
          <t>To Change a scenario</t>
        </r>
        <r>
          <rPr>
            <sz val="10"/>
            <rFont val="Tahoma"/>
            <family val="0"/>
          </rPr>
          <t xml:space="preserve">
1) Choose "Tools…Scenarios…" from the menu
2) Select the scenario you wish to change and click "Edit…"
3) Click "OK"
4) Scroll/Tab through the values and change any or all of them
5) Click "OK"
6) Click "Close"</t>
        </r>
      </text>
    </comment>
    <comment ref="B5" authorId="0">
      <text>
        <r>
          <rPr>
            <sz val="10"/>
            <rFont val="Tahoma"/>
            <family val="0"/>
          </rPr>
          <t>Cost of purchasing the aircraft.</t>
        </r>
      </text>
    </comment>
    <comment ref="B6" authorId="0">
      <text>
        <r>
          <rPr>
            <sz val="10"/>
            <rFont val="Tahoma"/>
            <family val="2"/>
          </rPr>
          <t xml:space="preserve">Amount paid down on aircraft.
</t>
        </r>
        <r>
          <rPr>
            <b/>
            <sz val="10"/>
            <rFont val="Tahoma"/>
            <family val="2"/>
          </rPr>
          <t>10/20% buttons</t>
        </r>
        <r>
          <rPr>
            <sz val="10"/>
            <rFont val="Tahoma"/>
            <family val="2"/>
          </rPr>
          <t xml:space="preserve">: will fill in those percentages of purchase price.
</t>
        </r>
        <r>
          <rPr>
            <b/>
            <sz val="10"/>
            <rFont val="Tahoma"/>
            <family val="2"/>
          </rPr>
          <t>All button</t>
        </r>
        <r>
          <rPr>
            <sz val="10"/>
            <rFont val="Tahoma"/>
            <family val="2"/>
          </rPr>
          <t>: will set the amount so that the loan amount will be zero (including one-time dues collected).</t>
        </r>
      </text>
    </comment>
    <comment ref="B8" authorId="0">
      <text>
        <r>
          <rPr>
            <sz val="10"/>
            <rFont val="Tahoma"/>
            <family val="2"/>
          </rPr>
          <t>Total time since overhaul on engine at time of purchase</t>
        </r>
      </text>
    </comment>
    <comment ref="B11" authorId="0">
      <text>
        <r>
          <rPr>
            <sz val="10"/>
            <rFont val="Tahoma"/>
            <family val="2"/>
          </rPr>
          <t xml:space="preserve">Annual insurance premium for insurance
</t>
        </r>
      </text>
    </comment>
    <comment ref="B12" authorId="0">
      <text>
        <r>
          <rPr>
            <sz val="10"/>
            <rFont val="Tahoma"/>
            <family val="2"/>
          </rPr>
          <t>Annual property tax on airplane</t>
        </r>
      </text>
    </comment>
    <comment ref="B13" authorId="0">
      <text>
        <r>
          <rPr>
            <sz val="10"/>
            <rFont val="Tahoma"/>
            <family val="2"/>
          </rPr>
          <t>Cost (estimated) of annual inspection</t>
        </r>
      </text>
    </comment>
    <comment ref="B14" authorId="0">
      <text>
        <r>
          <rPr>
            <sz val="10"/>
            <rFont val="Tahoma"/>
            <family val="2"/>
          </rPr>
          <t>Annual cost (estimated) of improvements (avionics, paint, interior, mods, etc.) to be made to airplane</t>
        </r>
      </text>
    </comment>
    <comment ref="B15" authorId="0">
      <text>
        <r>
          <rPr>
            <sz val="10"/>
            <rFont val="Tahoma"/>
            <family val="2"/>
          </rPr>
          <t>Other annual costs incurred</t>
        </r>
      </text>
    </comment>
    <comment ref="B17" authorId="0">
      <text>
        <r>
          <rPr>
            <i/>
            <sz val="10"/>
            <rFont val="Tahoma"/>
            <family val="2"/>
          </rPr>
          <t xml:space="preserve">Monthly </t>
        </r>
        <r>
          <rPr>
            <sz val="10"/>
            <rFont val="Tahoma"/>
            <family val="2"/>
          </rPr>
          <t>tie-down/hangar fee</t>
        </r>
      </text>
    </comment>
    <comment ref="B18" authorId="0">
      <text>
        <r>
          <rPr>
            <sz val="10"/>
            <rFont val="Tahoma"/>
            <family val="2"/>
          </rPr>
          <t xml:space="preserve">Other </t>
        </r>
        <r>
          <rPr>
            <i/>
            <sz val="10"/>
            <rFont val="Tahoma"/>
            <family val="2"/>
          </rPr>
          <t>monthly</t>
        </r>
        <r>
          <rPr>
            <sz val="10"/>
            <rFont val="Tahoma"/>
            <family val="2"/>
          </rPr>
          <t xml:space="preserve"> expenses (phone, web, etc.)</t>
        </r>
      </text>
    </comment>
    <comment ref="B20" authorId="0">
      <text>
        <r>
          <rPr>
            <sz val="10"/>
            <rFont val="Tahoma"/>
            <family val="2"/>
          </rPr>
          <t>Cost (estimated) for a complete engine overhaul</t>
        </r>
      </text>
    </comment>
    <comment ref="B21" authorId="0">
      <text>
        <r>
          <rPr>
            <sz val="10"/>
            <rFont val="Tahoma"/>
            <family val="2"/>
          </rPr>
          <t>Cost (estimated) for a 100-hour inspection (required for any commercial aircraft under FAR 91.???)</t>
        </r>
      </text>
    </comment>
    <comment ref="B22" authorId="0">
      <text>
        <r>
          <rPr>
            <sz val="10"/>
            <rFont val="Tahoma"/>
            <family val="2"/>
          </rPr>
          <t>Other estimated cost you'd like set aside for maintenance or improvements (per hour)</t>
        </r>
      </text>
    </comment>
    <comment ref="B23" authorId="0">
      <text>
        <r>
          <rPr>
            <sz val="10"/>
            <rFont val="Tahoma"/>
            <family val="2"/>
          </rPr>
          <t>Length of time between overhaul (hours) on engine</t>
        </r>
      </text>
    </comment>
    <comment ref="B26" authorId="0">
      <text>
        <r>
          <rPr>
            <sz val="10"/>
            <rFont val="Tahoma"/>
            <family val="2"/>
          </rPr>
          <t>Cost for one gallon of aviation gasoline</t>
        </r>
      </text>
    </comment>
    <comment ref="B27" authorId="0">
      <text>
        <r>
          <rPr>
            <sz val="10"/>
            <rFont val="Tahoma"/>
            <family val="2"/>
          </rPr>
          <t>Average per hour fuel burn (gallons) of aircraft</t>
        </r>
      </text>
    </comment>
    <comment ref="B29" authorId="0">
      <text>
        <r>
          <rPr>
            <sz val="10"/>
            <rFont val="Tahoma"/>
            <family val="2"/>
          </rPr>
          <t>Amount of money the pilot expects to spend on flying in a given year.  This does not include the fixed, one-time costs up front.  This number is used in max hour calculations and also to determine if a scenario is within budget.  It also is useful to compare hourly costs with rental options for a given scenario.</t>
        </r>
      </text>
    </comment>
    <comment ref="B30" authorId="0">
      <text>
        <r>
          <rPr>
            <sz val="10"/>
            <rFont val="Tahoma"/>
            <family val="2"/>
          </rPr>
          <t>Amount of money one has to spend for a down payment on an aircraft.  It will be assumed the rest of the purchase price is taken under loan.</t>
        </r>
      </text>
    </comment>
    <comment ref="E30" authorId="0">
      <text>
        <r>
          <rPr>
            <sz val="10"/>
            <rFont val="Tahoma"/>
            <family val="2"/>
          </rPr>
          <t>This is the effective hourly rate the owner can expect to realize (total costs/total personal hours flown).  Very useful to compare to rental opportunities.
Amount will be "N/A" if owner hours are zero.</t>
        </r>
      </text>
    </comment>
    <comment ref="E29" authorId="0">
      <text>
        <r>
          <rPr>
            <sz val="10"/>
            <rFont val="Tahoma"/>
            <family val="2"/>
          </rPr>
          <t>If the owner also flies (hours&gt;0), this is the net plus annual budget (that money is assumed to have been spent anyway) represented as a percentage of down payment.  If owner hours are 0, it's net/down.
Useful when considering other investment opportunities for the fixed expense down payment and the monies otherwise spent on flying the same number of hours.</t>
        </r>
      </text>
    </comment>
    <comment ref="E28" authorId="0">
      <text>
        <r>
          <rPr>
            <sz val="10"/>
            <rFont val="Tahoma"/>
            <family val="2"/>
          </rPr>
          <t>This is amount of money an owner can expect to have annually after all aircraft operations (including his/her own flying) have been concluded.  If this amount is highlighted in  green with white text, the owner will reap a profit.  If it is in light green with red text, the owner is within the annual budgeted amount.  If the background is red, s/he exceeds the amount budgeted.</t>
        </r>
      </text>
    </comment>
    <comment ref="E27" authorId="0">
      <text>
        <r>
          <rPr>
            <sz val="10"/>
            <rFont val="Tahoma"/>
            <family val="2"/>
          </rPr>
          <t>Total amount an owner will be required to pay (including setting aside money for overhaul) to acquire aircraft.</t>
        </r>
      </text>
    </comment>
    <comment ref="E24" authorId="0">
      <text>
        <r>
          <rPr>
            <sz val="10"/>
            <rFont val="Tahoma"/>
            <family val="2"/>
          </rPr>
          <t>This is hourly rate the member/renter can expect to realize.  Useful for rental comparisons.</t>
        </r>
      </text>
    </comment>
    <comment ref="E23" authorId="0">
      <text>
        <r>
          <rPr>
            <sz val="10"/>
            <rFont val="Tahoma"/>
            <family val="2"/>
          </rPr>
          <t>Total cost for a member pilot to fly the average hours per year.</t>
        </r>
      </text>
    </comment>
    <comment ref="E21" authorId="0">
      <text>
        <r>
          <rPr>
            <sz val="10"/>
            <rFont val="Tahoma"/>
            <family val="2"/>
          </rPr>
          <t xml:space="preserve">Monthly fee charged to be a member of the club/partnership.
</t>
        </r>
        <r>
          <rPr>
            <b/>
            <sz val="10"/>
            <rFont val="Tahoma"/>
            <family val="2"/>
          </rPr>
          <t>Set Dues Button</t>
        </r>
        <r>
          <rPr>
            <sz val="10"/>
            <rFont val="Tahoma"/>
            <family val="2"/>
          </rPr>
          <t>: Clicking this button will calculate what dues must be required to obtain zero net operational cost (if it's negative, the net is already in the black).</t>
        </r>
      </text>
    </comment>
    <comment ref="E19" authorId="0">
      <text>
        <r>
          <rPr>
            <sz val="10"/>
            <rFont val="Tahoma"/>
            <family val="2"/>
          </rPr>
          <t>This is the total amount of money a member/partner is expected to spend up front to join.  It includes the prorated amount set aside to cover an overhaul.</t>
        </r>
      </text>
    </comment>
    <comment ref="E18" authorId="0">
      <text>
        <r>
          <rPr>
            <sz val="10"/>
            <rFont val="Tahoma"/>
            <family val="2"/>
          </rPr>
          <t>One-time fee charged to a member (or partner, if club is member-owned) to join the flying club/partnership.</t>
        </r>
      </text>
    </comment>
    <comment ref="E17" authorId="0">
      <text>
        <r>
          <rPr>
            <sz val="10"/>
            <rFont val="Tahoma"/>
            <family val="2"/>
          </rPr>
          <t>Each members' prorated amount to set aside for engine overhaul (up front).</t>
        </r>
      </text>
    </comment>
    <comment ref="E11" authorId="0">
      <text>
        <r>
          <rPr>
            <sz val="10"/>
            <rFont val="Tahoma"/>
            <family val="2"/>
          </rPr>
          <t xml:space="preserve">Number of hours the owner(s) expect to fly.  The owners are not charged the rental rate, but the variable costs of flying are still absorbed by the bottom line.  
</t>
        </r>
        <r>
          <rPr>
            <b/>
            <sz val="10"/>
            <rFont val="Tahoma"/>
            <family val="2"/>
          </rPr>
          <t>Max button</t>
        </r>
        <r>
          <rPr>
            <sz val="10"/>
            <rFont val="Tahoma"/>
            <family val="2"/>
          </rPr>
          <t xml:space="preserve">: will maximize the hours for the owners selected budget.
</t>
        </r>
        <r>
          <rPr>
            <b/>
            <sz val="10"/>
            <rFont val="Tahoma"/>
            <family val="2"/>
          </rPr>
          <t>Zero button</t>
        </r>
        <r>
          <rPr>
            <sz val="10"/>
            <rFont val="Tahoma"/>
            <family val="2"/>
          </rPr>
          <t>: will fill in zero</t>
        </r>
      </text>
    </comment>
    <comment ref="E10" authorId="0">
      <text>
        <r>
          <rPr>
            <sz val="10"/>
            <rFont val="Tahoma"/>
            <family val="2"/>
          </rPr>
          <t>Number of owners who buy the plane outright and then lease it back to a club or school.</t>
        </r>
      </text>
    </comment>
    <comment ref="E9" authorId="0">
      <text>
        <r>
          <rPr>
            <sz val="10"/>
            <rFont val="Tahoma"/>
            <family val="2"/>
          </rPr>
          <t>This field will be light blue when owner is an individual or group.  The club members then lease or rent the craft from the owners, and have no stake or liability in the operation of the aircraft.</t>
        </r>
      </text>
    </comment>
    <comment ref="E8" authorId="0">
      <text>
        <r>
          <rPr>
            <sz val="10"/>
            <rFont val="Tahoma"/>
            <family val="2"/>
          </rPr>
          <t>This field will be light blue when member-owned plane is selected.  This means each member will share costs equally (except for per hour costs like rental)</t>
        </r>
      </text>
    </comment>
    <comment ref="E7" authorId="0">
      <text>
        <r>
          <rPr>
            <sz val="10"/>
            <rFont val="Tahoma"/>
            <family val="2"/>
          </rPr>
          <t xml:space="preserve">Rate charged to members (but not owners) to rent the aircraft.  Members also will be expected to pay fuel costs.
</t>
        </r>
        <r>
          <rPr>
            <b/>
            <sz val="10"/>
            <rFont val="Tahoma"/>
            <family val="2"/>
          </rPr>
          <t>Set Rate button</t>
        </r>
        <r>
          <rPr>
            <sz val="10"/>
            <rFont val="Tahoma"/>
            <family val="2"/>
          </rPr>
          <t>: Computes the rate required to obtain a net costs of $0 for annual operation of the aircraft.</t>
        </r>
      </text>
    </comment>
    <comment ref="E6" authorId="0">
      <text>
        <r>
          <rPr>
            <sz val="10"/>
            <rFont val="Tahoma"/>
            <family val="2"/>
          </rPr>
          <t xml:space="preserve">The number of hours each member of the club is expected to fly.  This can be an average for calculations, as the number of hours could vary greater from member to member.  If you are using members as months, this would be the hours flown in a month.
</t>
        </r>
        <r>
          <rPr>
            <b/>
            <sz val="10"/>
            <rFont val="Tahoma"/>
            <family val="2"/>
          </rPr>
          <t>Max button</t>
        </r>
        <r>
          <rPr>
            <sz val="10"/>
            <rFont val="Tahoma"/>
            <family val="2"/>
          </rPr>
          <t xml:space="preserve">: Computes the maximum hours a member can fly for the selected budget.
</t>
        </r>
        <r>
          <rPr>
            <b/>
            <sz val="10"/>
            <rFont val="Tahoma"/>
            <family val="2"/>
          </rPr>
          <t>Min button</t>
        </r>
        <r>
          <rPr>
            <sz val="10"/>
            <rFont val="Tahoma"/>
            <family val="2"/>
          </rPr>
          <t>: Will select the minimum hours required for zero net operational costs.</t>
        </r>
      </text>
    </comment>
    <comment ref="E5" authorId="0">
      <text>
        <r>
          <rPr>
            <sz val="10"/>
            <rFont val="Tahoma"/>
            <family val="2"/>
          </rPr>
          <t>The amount of people in the "club".  For a member-owned aircraft, this is the number of partners.  For a leaseback, it can be set to the number of months or weeks.  For owner(s) who have a private club, it is the number of members in the club.
Seek button: Will find the number of members required for zero net cost of operating the aircraft.</t>
        </r>
      </text>
    </comment>
    <comment ref="H5" authorId="0">
      <text>
        <r>
          <rPr>
            <sz val="10"/>
            <rFont val="Tahoma"/>
            <family val="2"/>
          </rPr>
          <t>The total hours the plane is expected to fly in a year.</t>
        </r>
      </text>
    </comment>
    <comment ref="H7" authorId="0">
      <text>
        <r>
          <rPr>
            <sz val="10"/>
            <rFont val="Tahoma"/>
            <family val="2"/>
          </rPr>
          <t>Number of 100-hour (if leaseback) or 250-hour (club) increments in a given year.</t>
        </r>
      </text>
    </comment>
    <comment ref="H8" authorId="0">
      <text>
        <r>
          <rPr>
            <sz val="10"/>
            <rFont val="Tahoma"/>
            <family val="2"/>
          </rPr>
          <t>The number of times a member can take the plane on an extended trip if those trips are divided equally.</t>
        </r>
      </text>
    </comment>
    <comment ref="H27" authorId="0">
      <text>
        <r>
          <rPr>
            <sz val="10"/>
            <rFont val="Tahoma"/>
            <family val="2"/>
          </rPr>
          <t>Loan principal is the purchase price minus the down payment and any one-time dues collected.</t>
        </r>
      </text>
    </comment>
    <comment ref="H28" authorId="0">
      <text>
        <r>
          <rPr>
            <sz val="10"/>
            <rFont val="Tahoma"/>
            <family val="2"/>
          </rPr>
          <t>Time in years of loan.</t>
        </r>
      </text>
    </comment>
    <comment ref="H29" authorId="0">
      <text>
        <r>
          <rPr>
            <sz val="10"/>
            <rFont val="Tahoma"/>
            <family val="2"/>
          </rPr>
          <t>Annual percentage rate for calculation of a loan.</t>
        </r>
      </text>
    </comment>
    <comment ref="A1" authorId="0">
      <text>
        <r>
          <rPr>
            <sz val="10"/>
            <rFont val="Tahoma"/>
            <family val="2"/>
          </rPr>
          <t>Label each scenario, with description, as desired.</t>
        </r>
      </text>
    </comment>
    <comment ref="H24" authorId="0">
      <text>
        <r>
          <rPr>
            <sz val="10"/>
            <rFont val="Tahoma"/>
            <family val="2"/>
          </rPr>
          <t xml:space="preserve">The total net cost to the club (income - expenses).  If this is negative, the club's losses will need to be absorbed by the owner(s).  In many calculations accessed by buttons, this net cost is sought to be zero, </t>
        </r>
      </text>
    </comment>
    <comment ref="B7" authorId="0">
      <text>
        <r>
          <rPr>
            <sz val="10"/>
            <rFont val="Tahoma"/>
            <family val="2"/>
          </rPr>
          <t xml:space="preserve">One-time expenses needed to improve the aircraft  (Radios, paint, interior, etc.)  
</t>
        </r>
      </text>
    </comment>
    <comment ref="E16" authorId="0">
      <text>
        <r>
          <rPr>
            <sz val="10"/>
            <rFont val="Tahoma"/>
            <family val="2"/>
          </rPr>
          <t>Each members' prorated amount for improving the aircraft.</t>
        </r>
      </text>
    </comment>
  </commentList>
</comments>
</file>

<file path=xl/sharedStrings.xml><?xml version="1.0" encoding="utf-8"?>
<sst xmlns="http://schemas.openxmlformats.org/spreadsheetml/2006/main" count="193" uniqueCount="181">
  <si>
    <t>Insurance (yr)</t>
  </si>
  <si>
    <t>Property tax (yr)</t>
  </si>
  <si>
    <t>Annual inspection (yr)</t>
  </si>
  <si>
    <t>Capital improvement (yr)</t>
  </si>
  <si>
    <t>Plane purchase price</t>
  </si>
  <si>
    <t>Annual Costs</t>
  </si>
  <si>
    <t>Fixed Costs</t>
  </si>
  <si>
    <t>Monthly costs</t>
  </si>
  <si>
    <t>Other</t>
  </si>
  <si>
    <t># people in club</t>
  </si>
  <si>
    <t>Results</t>
  </si>
  <si>
    <t>Hours/year</t>
  </si>
  <si>
    <t>Total annual costs</t>
  </si>
  <si>
    <t>TBO (hrs)</t>
  </si>
  <si>
    <t>Monthly dues</t>
  </si>
  <si>
    <t>100 hr inspection cost</t>
  </si>
  <si>
    <t>overhaul cost</t>
  </si>
  <si>
    <t>per hour maintenance</t>
  </si>
  <si>
    <t>fuel cost</t>
  </si>
  <si>
    <t>fuel burn</t>
  </si>
  <si>
    <t>loan years</t>
  </si>
  <si>
    <t>interest rate</t>
  </si>
  <si>
    <t>Long trips per person/yr</t>
  </si>
  <si>
    <t>Fuel Burn</t>
  </si>
  <si>
    <t>Loan</t>
  </si>
  <si>
    <t>Flying and Club summary</t>
  </si>
  <si>
    <t>per hour fuel cost</t>
  </si>
  <si>
    <t>Total annual revenue</t>
  </si>
  <si>
    <t>Fixed revenue</t>
  </si>
  <si>
    <t>Annual dues revenue</t>
  </si>
  <si>
    <t>Rental revenue</t>
  </si>
  <si>
    <t>Annual fixed costs</t>
  </si>
  <si>
    <t>$$ Summary</t>
  </si>
  <si>
    <t>Light green background items are variables to be edited.</t>
  </si>
  <si>
    <t>Introduction</t>
  </si>
  <si>
    <t>I hope you find it useful, and I welcome your comments.</t>
  </si>
  <si>
    <t>General</t>
  </si>
  <si>
    <t>Items with a spinner (       ) can use it to adjust values.  Alternatively, you may just type them in the cell.</t>
  </si>
  <si>
    <t>Assumptions</t>
  </si>
  <si>
    <t>Items with a yellow background are significant summary numbers.</t>
  </si>
  <si>
    <t>Variables</t>
  </si>
  <si>
    <t>If you have questions about this spreadsheet, or suggestions for improvements, you can contact the author at:</t>
  </si>
  <si>
    <t>Alan Hoffler, alanhoffler@hotmail.com</t>
  </si>
  <si>
    <t>Future features</t>
  </si>
  <si>
    <t>Green cells indicate that the scenario is profitable.</t>
  </si>
  <si>
    <t>Flying Club / Leaseback Cost Analysis</t>
  </si>
  <si>
    <t>Flying Club / Leaseback Cost Analysis Worksheet</t>
  </si>
  <si>
    <t>Insurance</t>
  </si>
  <si>
    <t>Property tax</t>
  </si>
  <si>
    <t>Annual inspection</t>
  </si>
  <si>
    <t>Capital improvement</t>
  </si>
  <si>
    <t>Any other annual expense you expect to incur</t>
  </si>
  <si>
    <t>The cost of the annual inspection.</t>
  </si>
  <si>
    <t>The annual amount of property tax you'll pay on the plane.</t>
  </si>
  <si>
    <t>The annual cost of insurance for the plane (keep in mind this will be a commercial policy).</t>
  </si>
  <si>
    <t>Monthly Costs</t>
  </si>
  <si>
    <t>Tie-Down</t>
  </si>
  <si>
    <t>Plane purchase cost</t>
  </si>
  <si>
    <t>100-hour inspection</t>
  </si>
  <si>
    <t>per hour maint</t>
  </si>
  <si>
    <t>TBO</t>
  </si>
  <si>
    <t>The cost to re-do an engine after TBO.</t>
  </si>
  <si>
    <t>Up front cost to join the club.</t>
  </si>
  <si>
    <t>monthly dues</t>
  </si>
  <si>
    <t>people in the club</t>
  </si>
  <si>
    <t>Avg hours/pilot</t>
  </si>
  <si>
    <t>Budget</t>
  </si>
  <si>
    <t>Number of owners</t>
  </si>
  <si>
    <t>Number of people splitting the fixed cost of the plane (whether a loan or not).</t>
  </si>
  <si>
    <t>Hours flown (owner)</t>
  </si>
  <si>
    <t>Annual percentage rate for the loan</t>
  </si>
  <si>
    <t>Number of years for the loan.</t>
  </si>
  <si>
    <t>Hours/flying week</t>
  </si>
  <si>
    <t>Weeks/yr down in maint</t>
  </si>
  <si>
    <t>Avg $/hour for member</t>
  </si>
  <si>
    <t>Gallons/hour the plane burns</t>
  </si>
  <si>
    <t>Cost of a gallon of aviation fuel.</t>
  </si>
  <si>
    <t>Overhaul cost</t>
  </si>
  <si>
    <t>Loan term (yrs)</t>
  </si>
  <si>
    <t>Loan interest rate</t>
  </si>
  <si>
    <t>Red cells indicate that the scenario is unprofitable (for club or person, as applicable).</t>
  </si>
  <si>
    <t>fuel burn (gal/hr)</t>
  </si>
  <si>
    <t>Other annual expense</t>
  </si>
  <si>
    <t>Other monthly expense</t>
  </si>
  <si>
    <t>per hour variable cost</t>
  </si>
  <si>
    <t>Down payment</t>
  </si>
  <si>
    <t>Loan principal</t>
  </si>
  <si>
    <t>Airplane costs</t>
  </si>
  <si>
    <t>Total annual loan cost</t>
  </si>
  <si>
    <t>One-time dues</t>
  </si>
  <si>
    <t>Member summary</t>
  </si>
  <si>
    <t>Club summary</t>
  </si>
  <si>
    <t>TBO reserve needed</t>
  </si>
  <si>
    <t>Avg hrs/yr per member</t>
  </si>
  <si>
    <t>Years until first TBO</t>
  </si>
  <si>
    <t>Up front expenses</t>
  </si>
  <si>
    <t>Owner summary</t>
  </si>
  <si>
    <t>Years between TBO</t>
  </si>
  <si>
    <t>TBO share</t>
  </si>
  <si>
    <t>Monthly expenses</t>
  </si>
  <si>
    <t>Annual loan costs</t>
  </si>
  <si>
    <t>Maintenance</t>
  </si>
  <si>
    <t>Loan Summary</t>
  </si>
  <si>
    <t>Down payment needed</t>
  </si>
  <si>
    <t>Effective purchase price</t>
  </si>
  <si>
    <t>TTSMOH</t>
  </si>
  <si>
    <t>TTSMOH at purchase</t>
  </si>
  <si>
    <t>The amount you'd like to set aside for improvements to the plane (avionics, paint, etc.) annually</t>
  </si>
  <si>
    <t>The cost of storing the plane on the ramp/hangar</t>
  </si>
  <si>
    <t>Items with radio selections are mutually exclusive</t>
  </si>
  <si>
    <t>Shaded areas do not apply with the selections you have in effect currently</t>
  </si>
  <si>
    <t>added TTSMOH, down payment info, options for member-owned plane</t>
  </si>
  <si>
    <t>Owner effective hrly rate</t>
  </si>
  <si>
    <t>Usage Summary</t>
  </si>
  <si>
    <t>Hrs flown by each owner</t>
  </si>
  <si>
    <t>Other costs you'll incur monthly (web site, phone line, advertising, etc.)</t>
  </si>
  <si>
    <t>Additional money per hour you set aside for maintenance costs (oil change, tires, etc.)</t>
  </si>
  <si>
    <t>hourly rental</t>
  </si>
  <si>
    <t>Annual amount of money alloted by owner for this hobby of flying (that would otherwise be spent on flying in the form of renting an aircraft)</t>
  </si>
  <si>
    <t>The amount the plane costs up front.  Used for loan and investment calculations only.  If the plane is well on its way to an overhaul, you might want to prorate the amount necessary for overhaul into the cost analysis, since the rental revenue will not be enough to offset this expense.</t>
  </si>
  <si>
    <t>The owner(s) assumes the cost of the plane.  In turn, we also assume the owner will not pay dues and will only take on variable costs (fuel) of flying the plane.</t>
  </si>
  <si>
    <t>It is assumed that costs based on how much the plane flies (such as maintenance and overhaul) will be set aside in an account to be available when needed.</t>
  </si>
  <si>
    <t>It is assumed there is a fixed amount of money ("Budget") that the owner intends to spend on renting or otherwise spend on flying.  Since this money is assumed spent, it is the comparison amount as to whether a scenario is profitable or not.</t>
  </si>
  <si>
    <t>Monthly loan payment</t>
  </si>
  <si>
    <t>The amount that will be recouped in rental/leaseback cost (per hour).  Clicking on the "set rate" button will cause the rental rate to be adjusted such that the club has zero profit at the end of the year.  This is useful when trying to determine what to charge for the plane</t>
  </si>
  <si>
    <t>Amount paid monthly to be a member of the club.  Clicking the "set dues" button will cause the amount necessary to charge monthly to balance out the year-end profit/loss for the club (zero-profit).  This is useful when trying to determine what additional monies need to be collected to offset the cost of flying.  Note that you can also zero out the cost by adjusting the rental price of the plane.</t>
  </si>
  <si>
    <t>As I continue to dream of ways to own a plane and fly cheaply (ha ha), this is another spreadsheet I've created to consider the costs associated with flying.  This spreadsheet examines how owning a plane and using it as a club plane or leasing it back figures financially.</t>
  </si>
  <si>
    <t>Costs</t>
  </si>
  <si>
    <t>Club Summary</t>
  </si>
  <si>
    <t>Member Summary</t>
  </si>
  <si>
    <t>$$$ Summary</t>
  </si>
  <si>
    <t>added computations for club expenses, fixed formatting, added buttons to auto-set rate and dues</t>
  </si>
  <si>
    <t>The loan summary information computes how much you need to borrow after the down payment and one-time member fees are subtracted from the plane purchase price.  The user can input the length of the loan and the interest rate, and the annual payment required is computed and displayed.</t>
  </si>
  <si>
    <t>The cost to do a 100-hour commercial inspection (required for leaseback, probably not for a club).</t>
  </si>
  <si>
    <t>The number of hours TBO (time between overhaul)</t>
  </si>
  <si>
    <t>Club members</t>
  </si>
  <si>
    <t>one-time dues</t>
  </si>
  <si>
    <t>Club variables</t>
  </si>
  <si>
    <t>Members own plane (partnership)</t>
  </si>
  <si>
    <t>Type of ownership</t>
  </si>
  <si>
    <t>Whether the plane is owned (equally) by the club members or by a group of owners who then allow the club members to use the plane.  Based on this radio box selection, other areas of the spreadsheet will be grayed out, since they do not apply.</t>
  </si>
  <si>
    <t>Hourly rental cost</t>
  </si>
  <si>
    <t>All data is input, not computed</t>
  </si>
  <si>
    <t>TOTAL REQUIRED DOWN</t>
  </si>
  <si>
    <t>Long trips per year takes into account maintenance weeks, and then divides the rest of the weeks evenly among members.  TBOs and hours per week are also computed and displayed.</t>
  </si>
  <si>
    <t>This is the financial summary for the club, indicating costs and revenue.  If the cash flow is positive, the net show up in green; otherwise it will be in red.  Note that even a negative club cash flow might be positive for the owner, because s/he gets to fly the plane so cheaply (assumed the plane owner doesn't pay dues).</t>
  </si>
  <si>
    <t>For group/individually-owned planes, the total cost to operate the plane per share of the aircraft is shown. If the bottom line is within the budgeted amount, it will be green, otherwise it will be red.  If there are multiple owners, any loss/gain is split evenly between them, and each is assumed to fly the hours listed.  The cost/hour is computed based on the number of owner hours and the total costs incurred by the owner.</t>
  </si>
  <si>
    <t>Items with a button cause a calculation to be made in a certain manner.</t>
  </si>
  <si>
    <t>There is a worksheet "Analysis" that is where the user data and results are displayed.  Clikc the tab at the bottom of the screen to go to that worksheet.</t>
  </si>
  <si>
    <t>Pilot annual budget</t>
  </si>
  <si>
    <t>In the member summary section, the prorated share of the members down payment and TBO replacement is computed, which, along with one-time dues, constitutes the money needed up front to join (down and TBO amounts only computed for member-owned plane).  Then monthly dues and loan costs are computed, and finally, the total cost to fly (including fuel, not included in rental) for the hours estimated in Club Summary for each member is shown. Note that if the plane is member-owned, changing rental rates and dues will not affect the total cost to rent the aircraft, since profit/loss is rolled back to the members, and all members are assumed to fly equally.  The annual amount spent is stoplighted: red if it exceeds the annual budget, green if it is within.</t>
  </si>
  <si>
    <t>Annual cost to member pilot</t>
  </si>
  <si>
    <t>Club facts</t>
  </si>
  <si>
    <t>Annual percent of down</t>
  </si>
  <si>
    <t>The Effective purchase price include not only the cost of the plane, but the cost of TBO prorated for the time on the engine already.  Per hour fuel and variable costs are also subtotalled in this section.</t>
  </si>
  <si>
    <t>Down Payment Available</t>
  </si>
  <si>
    <t>Version</t>
  </si>
  <si>
    <t>Owner(s) owns plane (leaseback)</t>
  </si>
  <si>
    <t>Scenario Instructions (hover)</t>
  </si>
  <si>
    <t>Total Time Since Major OverHaul -- hours on the engine when purchased.</t>
  </si>
  <si>
    <t>Tie-down (monthly)</t>
  </si>
  <si>
    <t>Net cost of operating aircraft</t>
  </si>
  <si>
    <t>Owner annual net cost</t>
  </si>
  <si>
    <t>fuel cost (per gallon)</t>
  </si>
  <si>
    <t>Light green cells indicate the scenario costs, but is within budget</t>
  </si>
  <si>
    <t>These items are area headers</t>
  </si>
  <si>
    <t>added buttons for computing max hours, changed some conditional formatting, changed annual figures to net, added scenario support, added popup comments, added styles for user configurable colors</t>
  </si>
  <si>
    <t>These items are labels/descriptions of user entry fields.</t>
  </si>
  <si>
    <t>These areas are results from the computations.</t>
  </si>
  <si>
    <t>These items are variables that the user can alter.</t>
  </si>
  <si>
    <t>Development version</t>
  </si>
  <si>
    <t>1-time improvements (paint, int)</t>
  </si>
  <si>
    <t>Improvement share</t>
  </si>
  <si>
    <t>Improvements needed</t>
  </si>
  <si>
    <t>Amount spent to put new avionics, paint, interior, etc. into plane before plane is put into service</t>
  </si>
  <si>
    <t>various cleanup, conditional formatting, improvements, …</t>
  </si>
  <si>
    <t>Vary amount of down payment per partner</t>
  </si>
  <si>
    <t>Estimated number of hours each member will fly.  Max button will compute the maximum allowed by the selected budget.  Min button will compute the minimum needed for the club to break even.</t>
  </si>
  <si>
    <t>Number of hours the owner(s) will fly annually.  Max button will compute the maximum allowed by the selected budget.  Zero button will enter 0.</t>
  </si>
  <si>
    <t>Amount put up front for the plane.  Anything beyond this amount is considered to be a loan, unless the fixed revenue from the club makes up the difference.  If the cell is yellow, your down payment + fixed revenue is greater than your purchase price.  Clicking on the "All" button will calculate and fill in the proper amount taking into account the club one-time payments and purchase price.</t>
  </si>
  <si>
    <t>Number of people in the club.  If you want to look at leaseback, you can use 12 or 52 to estimate hours per month or week.  Seek will compute the number needed to break even (and turn yellow when it is not an integer).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</si>
</sst>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0.0_)"/>
    <numFmt numFmtId="166" formatCode="0.0%_)"/>
    <numFmt numFmtId="167" formatCode="0_)"/>
    <numFmt numFmtId="168" formatCode="0.0000000"/>
    <numFmt numFmtId="169" formatCode="0.000000"/>
    <numFmt numFmtId="170" formatCode="0.00000"/>
    <numFmt numFmtId="171" formatCode="0.0000"/>
    <numFmt numFmtId="172" formatCode="0.000"/>
    <numFmt numFmtId="173" formatCode="0.0"/>
    <numFmt numFmtId="174" formatCode="_(&quot;$&quot;* #,##0.00_);[Red]_(&quot;$&quot;* \(#,##0.00\);_(&quot;$&quot;* &quot;-&quot;_);_(@_)"/>
    <numFmt numFmtId="175" formatCode="_(* #,##0.0_);_(* \(#,##0.0\);_(* &quot;-&quot;??_);_(@_)"/>
    <numFmt numFmtId="176" formatCode="_(* #,##0_);_(* \(#,##0\);_(* &quot;-&quot;??_);_(@_)"/>
    <numFmt numFmtId="177" formatCode="0.00_)"/>
    <numFmt numFmtId="178" formatCode="0.0%"/>
    <numFmt numFmtId="179" formatCode="_0"/>
    <numFmt numFmtId="180" formatCode="_(0"/>
    <numFmt numFmtId="181" formatCode="_(&quot;$&quot;"/>
    <numFmt numFmtId="182" formatCode="_("/>
    <numFmt numFmtId="183" formatCode="0.00000000"/>
    <numFmt numFmtId="184" formatCode="#_);"/>
    <numFmt numFmtId="185" formatCode="&quot;Yes&quot;;&quot;Yes&quot;;&quot;No&quot;"/>
    <numFmt numFmtId="186" formatCode="&quot;True&quot;;&quot;True&quot;;&quot;False&quot;"/>
    <numFmt numFmtId="187" formatCode="&quot;On&quot;;&quot;On&quot;;&quot;Off&quot;"/>
    <numFmt numFmtId="188" formatCode="mmmm\ d\,\ yyyy"/>
    <numFmt numFmtId="189" formatCode="_(&quot;$&quot;* #,##0.0_);_(&quot;$&quot;* \(#,##0.0\);_(&quot;$&quot;* &quot;-&quot;_);_(@_)"/>
    <numFmt numFmtId="190" formatCode="_(&quot;$&quot;* #,##0.000_);_(&quot;$&quot;* \(#,##0.000\);_(&quot;$&quot;* &quot;-&quot;??_);_(@_)"/>
    <numFmt numFmtId="191" formatCode="_(&quot;$&quot;* #,##0.0_);_(&quot;$&quot;* \(#,##0.0\);_(&quot;$&quot;* &quot;-&quot;??_);_(@_)"/>
    <numFmt numFmtId="192" formatCode="_(&quot;$&quot;* #,##0_);_(&quot;$&quot;* \(#,##0\);_(&quot;$&quot;* &quot;-&quot;??_);_(@_)"/>
    <numFmt numFmtId="193" formatCode="_(&quot;$&quot;* #,##0.0000_);_(&quot;$&quot;* \(#,##0.0000\);_(&quot;$&quot;* &quot;-&quot;??_);_(@_)"/>
  </numFmts>
  <fonts count="17">
    <font>
      <sz val="10"/>
      <name val="Arial"/>
      <family val="0"/>
    </font>
    <font>
      <sz val="10"/>
      <color indexed="9"/>
      <name val="Arial"/>
      <family val="2"/>
    </font>
    <font>
      <b/>
      <sz val="12"/>
      <name val="Arial"/>
      <family val="2"/>
    </font>
    <font>
      <sz val="10"/>
      <color indexed="8"/>
      <name val="Arial"/>
      <family val="2"/>
    </font>
    <font>
      <sz val="8"/>
      <name val="Tahoma"/>
      <family val="2"/>
    </font>
    <font>
      <b/>
      <sz val="10"/>
      <name val="Arial"/>
      <family val="2"/>
    </font>
    <font>
      <b/>
      <sz val="14"/>
      <name val="Arial"/>
      <family val="2"/>
    </font>
    <font>
      <b/>
      <sz val="10"/>
      <color indexed="12"/>
      <name val="Arial"/>
      <family val="2"/>
    </font>
    <font>
      <b/>
      <sz val="12"/>
      <color indexed="9"/>
      <name val="Arial"/>
      <family val="2"/>
    </font>
    <font>
      <sz val="9"/>
      <name val="Arial"/>
      <family val="2"/>
    </font>
    <font>
      <u val="single"/>
      <sz val="10"/>
      <color indexed="12"/>
      <name val="Arial"/>
      <family val="0"/>
    </font>
    <font>
      <u val="single"/>
      <sz val="10"/>
      <color indexed="36"/>
      <name val="Arial"/>
      <family val="0"/>
    </font>
    <font>
      <sz val="10"/>
      <name val="Tahoma"/>
      <family val="0"/>
    </font>
    <font>
      <i/>
      <sz val="10"/>
      <name val="Tahoma"/>
      <family val="2"/>
    </font>
    <font>
      <b/>
      <sz val="10"/>
      <name val="Tahoma"/>
      <family val="2"/>
    </font>
    <font>
      <b/>
      <sz val="10"/>
      <color indexed="9"/>
      <name val="Arial"/>
      <family val="2"/>
    </font>
    <font>
      <b/>
      <sz val="8"/>
      <name val="Arial"/>
      <family val="2"/>
    </font>
  </fonts>
  <fills count="14">
    <fill>
      <patternFill/>
    </fill>
    <fill>
      <patternFill patternType="gray125"/>
    </fill>
    <fill>
      <patternFill patternType="solid">
        <fgColor indexed="53"/>
        <bgColor indexed="64"/>
      </patternFill>
    </fill>
    <fill>
      <patternFill patternType="solid">
        <fgColor indexed="18"/>
        <bgColor indexed="64"/>
      </patternFill>
    </fill>
    <fill>
      <patternFill patternType="solid">
        <fgColor indexed="22"/>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10"/>
        <bgColor indexed="64"/>
      </patternFill>
    </fill>
    <fill>
      <patternFill patternType="solid">
        <fgColor indexed="55"/>
        <bgColor indexed="64"/>
      </patternFill>
    </fill>
    <fill>
      <patternFill patternType="darkDown">
        <bgColor indexed="22"/>
      </patternFill>
    </fill>
    <fill>
      <patternFill patternType="solid">
        <fgColor indexed="62"/>
        <bgColor indexed="64"/>
      </patternFill>
    </fill>
  </fills>
  <borders count="21">
    <border>
      <left/>
      <right/>
      <top/>
      <bottom/>
      <diagonal/>
    </border>
    <border>
      <left style="medium"/>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double"/>
    </border>
    <border>
      <left>
        <color indexed="63"/>
      </left>
      <right style="medium"/>
      <top style="thin"/>
      <bottom style="double"/>
    </border>
    <border>
      <left>
        <color indexed="63"/>
      </left>
      <right style="medium"/>
      <top>
        <color indexed="63"/>
      </top>
      <bottom style="double"/>
    </border>
    <border>
      <left style="medium"/>
      <right>
        <color indexed="63"/>
      </right>
      <top>
        <color indexed="63"/>
      </top>
      <bottom style="double"/>
    </border>
    <border>
      <left style="medium"/>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2" borderId="1">
      <alignment horizontal="center" vertical="center"/>
      <protection/>
    </xf>
    <xf numFmtId="0" fontId="10" fillId="0" borderId="0" applyNumberFormat="0" applyFill="0" applyBorder="0" applyAlignment="0" applyProtection="0"/>
    <xf numFmtId="0" fontId="1" fillId="3" borderId="2">
      <alignment horizontal="left" vertical="center" indent="1"/>
      <protection/>
    </xf>
    <xf numFmtId="9" fontId="0" fillId="0" borderId="0" applyFont="0" applyFill="0" applyBorder="0" applyAlignment="0" applyProtection="0"/>
    <xf numFmtId="0" fontId="0" fillId="4" borderId="2" applyNumberFormat="0" applyBorder="0" applyAlignment="0" applyProtection="0"/>
    <xf numFmtId="0" fontId="15" fillId="5" borderId="3" applyBorder="0">
      <alignment horizontal="left" vertical="center" indent="1"/>
      <protection/>
    </xf>
    <xf numFmtId="0" fontId="0" fillId="6" borderId="0" applyNumberFormat="0" applyBorder="0" applyAlignment="0">
      <protection locked="0"/>
    </xf>
  </cellStyleXfs>
  <cellXfs count="140">
    <xf numFmtId="0" fontId="0" fillId="0" borderId="0" xfId="0" applyAlignment="1">
      <alignment/>
    </xf>
    <xf numFmtId="0" fontId="0" fillId="0" borderId="0" xfId="0" applyBorder="1" applyAlignment="1">
      <alignment/>
    </xf>
    <xf numFmtId="0" fontId="0" fillId="0" borderId="0" xfId="0" applyFont="1" applyAlignment="1">
      <alignment/>
    </xf>
    <xf numFmtId="0" fontId="2" fillId="0" borderId="0" xfId="0" applyFont="1" applyAlignment="1">
      <alignment/>
    </xf>
    <xf numFmtId="0" fontId="1" fillId="3" borderId="2" xfId="0" applyFont="1" applyFill="1" applyBorder="1" applyAlignment="1" applyProtection="1">
      <alignment horizontal="left" vertical="center" indent="2"/>
      <protection/>
    </xf>
    <xf numFmtId="0" fontId="0" fillId="0" borderId="0" xfId="0" applyFill="1" applyAlignment="1">
      <alignment/>
    </xf>
    <xf numFmtId="0" fontId="0" fillId="0" borderId="0" xfId="0" applyFont="1" applyFill="1" applyAlignment="1">
      <alignment/>
    </xf>
    <xf numFmtId="0" fontId="0" fillId="7" borderId="4" xfId="17" applyNumberFormat="1" applyFont="1" applyFill="1" applyBorder="1" applyAlignment="1" applyProtection="1">
      <alignment horizontal="left" vertical="center"/>
      <protection/>
    </xf>
    <xf numFmtId="8" fontId="0" fillId="0" borderId="0" xfId="0" applyNumberFormat="1" applyFill="1" applyAlignment="1">
      <alignment/>
    </xf>
    <xf numFmtId="0" fontId="6" fillId="0" borderId="0" xfId="0" applyNumberFormat="1" applyFont="1" applyBorder="1" applyAlignment="1" applyProtection="1">
      <alignment horizontal="center"/>
      <protection/>
    </xf>
    <xf numFmtId="0" fontId="0" fillId="8" borderId="0" xfId="0" applyFill="1" applyAlignment="1">
      <alignment/>
    </xf>
    <xf numFmtId="0" fontId="0" fillId="3" borderId="0" xfId="0" applyFill="1" applyAlignment="1">
      <alignment/>
    </xf>
    <xf numFmtId="0" fontId="7" fillId="0" borderId="0" xfId="0" applyFont="1" applyFill="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0" fillId="9" borderId="0" xfId="0" applyFill="1" applyAlignment="1">
      <alignment/>
    </xf>
    <xf numFmtId="0" fontId="0" fillId="7" borderId="0" xfId="0" applyFill="1" applyAlignment="1">
      <alignment/>
    </xf>
    <xf numFmtId="0" fontId="0" fillId="10" borderId="0" xfId="0" applyFill="1" applyAlignment="1">
      <alignment/>
    </xf>
    <xf numFmtId="0" fontId="0" fillId="0" borderId="5" xfId="0" applyNumberFormat="1" applyBorder="1" applyAlignment="1" applyProtection="1">
      <alignment horizontal="center"/>
      <protection/>
    </xf>
    <xf numFmtId="0" fontId="0" fillId="4" borderId="0" xfId="0" applyFill="1" applyAlignment="1">
      <alignment/>
    </xf>
    <xf numFmtId="0" fontId="0" fillId="4" borderId="2" xfId="17" applyNumberFormat="1" applyFont="1" applyFill="1" applyBorder="1" applyAlignment="1" applyProtection="1">
      <alignment horizontal="left" vertical="center"/>
      <protection/>
    </xf>
    <xf numFmtId="0" fontId="0" fillId="4" borderId="6" xfId="17" applyNumberFormat="1" applyFont="1" applyFill="1" applyBorder="1" applyAlignment="1" applyProtection="1">
      <alignment horizontal="left" vertical="center"/>
      <protection/>
    </xf>
    <xf numFmtId="164" fontId="0" fillId="4" borderId="7" xfId="17" applyNumberFormat="1" applyFont="1" applyFill="1" applyBorder="1" applyAlignment="1" applyProtection="1">
      <alignment vertical="center"/>
      <protection/>
    </xf>
    <xf numFmtId="174" fontId="0" fillId="4" borderId="3" xfId="17" applyNumberFormat="1" applyFill="1" applyBorder="1" applyAlignment="1" applyProtection="1">
      <alignment vertical="center"/>
      <protection/>
    </xf>
    <xf numFmtId="164" fontId="0" fillId="4" borderId="3" xfId="17" applyNumberFormat="1" applyFont="1" applyFill="1" applyBorder="1" applyAlignment="1" applyProtection="1">
      <alignment vertical="center"/>
      <protection/>
    </xf>
    <xf numFmtId="167" fontId="0" fillId="4" borderId="3" xfId="0" applyNumberFormat="1" applyFill="1" applyBorder="1" applyAlignment="1" applyProtection="1">
      <alignment vertical="center"/>
      <protection/>
    </xf>
    <xf numFmtId="165" fontId="0" fillId="4" borderId="3" xfId="0" applyNumberFormat="1" applyFill="1" applyBorder="1" applyAlignment="1" applyProtection="1">
      <alignment vertical="center"/>
      <protection/>
    </xf>
    <xf numFmtId="165" fontId="0" fillId="4" borderId="8" xfId="0" applyNumberFormat="1" applyFill="1" applyBorder="1" applyAlignment="1" applyProtection="1">
      <alignment vertical="center"/>
      <protection/>
    </xf>
    <xf numFmtId="44" fontId="3" fillId="10" borderId="8" xfId="17" applyFont="1" applyFill="1" applyBorder="1" applyAlignment="1" applyProtection="1">
      <alignment vertical="center"/>
      <protection/>
    </xf>
    <xf numFmtId="174" fontId="0" fillId="11" borderId="9" xfId="17" applyNumberFormat="1" applyFill="1" applyBorder="1" applyAlignment="1" applyProtection="1">
      <alignment vertical="center"/>
      <protection/>
    </xf>
    <xf numFmtId="0" fontId="0" fillId="11" borderId="10" xfId="0" applyFont="1" applyFill="1" applyBorder="1" applyAlignment="1" applyProtection="1">
      <alignment horizontal="left" vertical="center"/>
      <protection/>
    </xf>
    <xf numFmtId="164" fontId="0" fillId="11" borderId="9" xfId="17" applyNumberFormat="1" applyFont="1" applyFill="1" applyBorder="1" applyAlignment="1" applyProtection="1">
      <alignment vertical="center"/>
      <protection/>
    </xf>
    <xf numFmtId="0" fontId="0" fillId="11" borderId="10" xfId="17" applyNumberFormat="1" applyFont="1" applyFill="1" applyBorder="1" applyAlignment="1" applyProtection="1">
      <alignment horizontal="left" vertical="center"/>
      <protection/>
    </xf>
    <xf numFmtId="164" fontId="0" fillId="4" borderId="3" xfId="17" applyNumberFormat="1" applyFill="1" applyBorder="1" applyAlignment="1" applyProtection="1">
      <alignment vertical="center"/>
      <protection locked="0"/>
    </xf>
    <xf numFmtId="167" fontId="0" fillId="0" borderId="0" xfId="0" applyNumberFormat="1" applyFill="1" applyBorder="1" applyAlignment="1" applyProtection="1">
      <alignment vertical="center"/>
      <protection locked="0"/>
    </xf>
    <xf numFmtId="0" fontId="1" fillId="0" borderId="0" xfId="0" applyFont="1" applyFill="1" applyBorder="1" applyAlignment="1" applyProtection="1">
      <alignment horizontal="left" vertical="center" indent="2"/>
      <protection/>
    </xf>
    <xf numFmtId="0" fontId="1" fillId="3" borderId="4" xfId="0" applyFont="1" applyFill="1" applyBorder="1" applyAlignment="1" applyProtection="1">
      <alignment horizontal="left" vertical="center" indent="2"/>
      <protection/>
    </xf>
    <xf numFmtId="44" fontId="0" fillId="0" borderId="0" xfId="17" applyFill="1" applyAlignment="1">
      <alignment/>
    </xf>
    <xf numFmtId="44" fontId="0" fillId="0" borderId="0" xfId="0" applyNumberFormat="1" applyFill="1" applyAlignment="1">
      <alignment horizontal="right"/>
    </xf>
    <xf numFmtId="44" fontId="0" fillId="10" borderId="3" xfId="17" applyFont="1" applyFill="1" applyBorder="1" applyAlignment="1" applyProtection="1">
      <alignment vertical="center"/>
      <protection locked="0"/>
    </xf>
    <xf numFmtId="44" fontId="0" fillId="4" borderId="8" xfId="17" applyFont="1" applyFill="1" applyBorder="1" applyAlignment="1" applyProtection="1">
      <alignment horizontal="center" vertical="center"/>
      <protection locked="0"/>
    </xf>
    <xf numFmtId="10" fontId="0" fillId="0" borderId="0" xfId="23" applyNumberFormat="1" applyAlignment="1">
      <alignment/>
    </xf>
    <xf numFmtId="0" fontId="0" fillId="12" borderId="0" xfId="0" applyFill="1" applyAlignment="1">
      <alignment/>
    </xf>
    <xf numFmtId="0" fontId="0" fillId="4" borderId="2" xfId="17" applyNumberFormat="1" applyFont="1" applyFill="1" applyBorder="1" applyAlignment="1" applyProtection="1">
      <alignment horizontal="left" vertical="center" indent="1"/>
      <protection/>
    </xf>
    <xf numFmtId="0" fontId="0" fillId="0" borderId="0" xfId="0" applyAlignment="1">
      <alignment wrapText="1"/>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2" fillId="4" borderId="0" xfId="0" applyFont="1" applyFill="1" applyAlignment="1">
      <alignment/>
    </xf>
    <xf numFmtId="0" fontId="7" fillId="4" borderId="0" xfId="0" applyFont="1" applyFill="1" applyBorder="1" applyAlignment="1" applyProtection="1">
      <alignment horizontal="left"/>
      <protection locked="0"/>
    </xf>
    <xf numFmtId="164" fontId="5" fillId="4" borderId="3" xfId="17" applyNumberFormat="1" applyFont="1" applyFill="1" applyBorder="1" applyAlignment="1" applyProtection="1">
      <alignment vertical="center"/>
      <protection locked="0"/>
    </xf>
    <xf numFmtId="0" fontId="5" fillId="4" borderId="2" xfId="17" applyNumberFormat="1" applyFont="1" applyFill="1" applyBorder="1" applyAlignment="1" applyProtection="1">
      <alignment horizontal="left" vertical="center"/>
      <protection/>
    </xf>
    <xf numFmtId="0" fontId="0" fillId="4" borderId="2" xfId="0" applyFill="1" applyBorder="1" applyAlignment="1" applyProtection="1">
      <alignment vertical="center"/>
      <protection/>
    </xf>
    <xf numFmtId="0" fontId="0" fillId="4" borderId="2" xfId="17" applyNumberFormat="1" applyFont="1" applyFill="1" applyBorder="1" applyAlignment="1" applyProtection="1">
      <alignment vertical="center"/>
      <protection/>
    </xf>
    <xf numFmtId="0" fontId="0" fillId="4" borderId="4" xfId="17" applyNumberFormat="1" applyFont="1" applyFill="1" applyBorder="1" applyAlignment="1" applyProtection="1">
      <alignment vertical="center"/>
      <protection/>
    </xf>
    <xf numFmtId="0" fontId="0" fillId="4" borderId="11" xfId="0" applyFill="1" applyBorder="1" applyAlignment="1">
      <alignment vertical="center"/>
    </xf>
    <xf numFmtId="0" fontId="0" fillId="4" borderId="4" xfId="0" applyFill="1" applyBorder="1" applyAlignment="1">
      <alignment vertical="center"/>
    </xf>
    <xf numFmtId="0" fontId="0" fillId="7" borderId="2" xfId="0" applyFill="1" applyBorder="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17" applyNumberFormat="1" applyFill="1" applyBorder="1" applyAlignment="1" applyProtection="1">
      <alignment vertical="center"/>
      <protection/>
    </xf>
    <xf numFmtId="44" fontId="0" fillId="4" borderId="3" xfId="17" applyFont="1" applyFill="1" applyBorder="1" applyAlignment="1">
      <alignment vertical="center"/>
    </xf>
    <xf numFmtId="0" fontId="0" fillId="4" borderId="2" xfId="0" applyFill="1" applyBorder="1" applyAlignment="1">
      <alignment vertical="center"/>
    </xf>
    <xf numFmtId="44" fontId="0" fillId="4" borderId="12" xfId="17" applyFont="1" applyFill="1" applyBorder="1" applyAlignment="1">
      <alignment vertical="center"/>
    </xf>
    <xf numFmtId="44" fontId="0" fillId="4" borderId="8" xfId="17" applyFont="1" applyFill="1" applyBorder="1" applyAlignment="1">
      <alignment vertical="center"/>
    </xf>
    <xf numFmtId="44" fontId="0" fillId="4" borderId="3" xfId="17" applyFill="1" applyBorder="1" applyAlignment="1" applyProtection="1">
      <alignment vertical="center"/>
      <protection locked="0"/>
    </xf>
    <xf numFmtId="0" fontId="8" fillId="0" borderId="0" xfId="0" applyFont="1" applyAlignment="1" applyProtection="1">
      <alignment/>
      <protection locked="0"/>
    </xf>
    <xf numFmtId="44" fontId="1" fillId="0" borderId="0" xfId="0" applyNumberFormat="1" applyFont="1" applyAlignment="1">
      <alignment/>
    </xf>
    <xf numFmtId="44" fontId="0" fillId="4" borderId="2" xfId="17" applyFill="1" applyBorder="1" applyAlignment="1" applyProtection="1">
      <alignment vertical="center"/>
      <protection locked="0"/>
    </xf>
    <xf numFmtId="44" fontId="0" fillId="4" borderId="8" xfId="17" applyFill="1" applyBorder="1" applyAlignment="1" applyProtection="1">
      <alignment vertical="center"/>
      <protection locked="0"/>
    </xf>
    <xf numFmtId="44" fontId="0" fillId="4" borderId="4" xfId="17" applyFill="1" applyBorder="1" applyAlignment="1" applyProtection="1">
      <alignment vertical="center"/>
      <protection locked="0"/>
    </xf>
    <xf numFmtId="44" fontId="1" fillId="13" borderId="2" xfId="17" applyFont="1" applyFill="1" applyBorder="1" applyAlignment="1" applyProtection="1">
      <alignment horizontal="left" vertical="center" indent="2"/>
      <protection locked="0"/>
    </xf>
    <xf numFmtId="0" fontId="0" fillId="0" borderId="0" xfId="0" applyFill="1" applyBorder="1" applyAlignment="1">
      <alignment horizontal="left"/>
    </xf>
    <xf numFmtId="0" fontId="0" fillId="0" borderId="0" xfId="0" applyAlignment="1">
      <alignment horizontal="left"/>
    </xf>
    <xf numFmtId="0" fontId="1" fillId="0" borderId="0" xfId="0" applyFont="1" applyFill="1" applyBorder="1" applyAlignment="1" applyProtection="1">
      <alignment vertical="center"/>
      <protection locked="0"/>
    </xf>
    <xf numFmtId="0" fontId="0" fillId="0" borderId="0" xfId="0" applyFill="1" applyAlignment="1">
      <alignment wrapText="1"/>
    </xf>
    <xf numFmtId="178" fontId="0" fillId="4" borderId="3" xfId="23" applyNumberFormat="1" applyFont="1" applyFill="1" applyBorder="1" applyAlignment="1" applyProtection="1">
      <alignment horizontal="right" vertical="center"/>
      <protection/>
    </xf>
    <xf numFmtId="188" fontId="0" fillId="0" borderId="0" xfId="0" applyNumberFormat="1" applyFill="1" applyAlignment="1">
      <alignment horizontal="left"/>
    </xf>
    <xf numFmtId="173" fontId="0" fillId="0" borderId="0" xfId="0" applyNumberFormat="1" applyFill="1" applyAlignment="1">
      <alignment/>
    </xf>
    <xf numFmtId="173" fontId="0" fillId="0" borderId="0" xfId="0" applyNumberFormat="1" applyAlignment="1">
      <alignment/>
    </xf>
    <xf numFmtId="0" fontId="5" fillId="0" borderId="0" xfId="0" applyFont="1" applyAlignment="1">
      <alignment horizontal="right" vertical="center"/>
    </xf>
    <xf numFmtId="0" fontId="5" fillId="0" borderId="5" xfId="0" applyFont="1" applyFill="1" applyBorder="1" applyAlignment="1">
      <alignment horizontal="center" vertical="center"/>
    </xf>
    <xf numFmtId="0" fontId="1" fillId="0" borderId="0" xfId="0" applyNumberFormat="1" applyFont="1" applyFill="1" applyAlignment="1">
      <alignment/>
    </xf>
    <xf numFmtId="0" fontId="0" fillId="0" borderId="0" xfId="0" applyAlignment="1" applyProtection="1">
      <alignment/>
      <protection/>
    </xf>
    <xf numFmtId="0" fontId="0" fillId="0" borderId="0" xfId="0" applyFont="1" applyFill="1" applyBorder="1" applyAlignment="1" applyProtection="1">
      <alignment horizontal="left" vertical="center" indent="2"/>
      <protection/>
    </xf>
    <xf numFmtId="0" fontId="1" fillId="0" borderId="0" xfId="0" applyFont="1" applyFill="1" applyAlignment="1" applyProtection="1">
      <alignment horizontal="left" vertical="center"/>
      <protection hidden="1" locked="0"/>
    </xf>
    <xf numFmtId="0" fontId="0" fillId="7" borderId="2" xfId="0" applyFont="1" applyFill="1" applyBorder="1" applyAlignment="1" applyProtection="1">
      <alignment horizontal="left" vertical="center" indent="1"/>
      <protection/>
    </xf>
    <xf numFmtId="0" fontId="0" fillId="4" borderId="2" xfId="0" applyFont="1" applyFill="1" applyBorder="1" applyAlignment="1" applyProtection="1">
      <alignment horizontal="left" vertical="center" indent="1"/>
      <protection/>
    </xf>
    <xf numFmtId="0" fontId="1" fillId="3" borderId="2" xfId="22">
      <alignment horizontal="left" vertical="center" indent="1"/>
      <protection/>
    </xf>
    <xf numFmtId="0" fontId="0" fillId="4" borderId="4" xfId="17" applyNumberFormat="1" applyFont="1" applyFill="1" applyBorder="1" applyAlignment="1" applyProtection="1">
      <alignment horizontal="left" vertical="center" indent="1"/>
      <protection locked="0"/>
    </xf>
    <xf numFmtId="0" fontId="0" fillId="6" borderId="0" xfId="26" applyAlignment="1">
      <alignment/>
      <protection locked="0"/>
    </xf>
    <xf numFmtId="0" fontId="15" fillId="5" borderId="0" xfId="25" applyBorder="1">
      <alignment horizontal="left" vertical="center" indent="1"/>
      <protection/>
    </xf>
    <xf numFmtId="0" fontId="15" fillId="5" borderId="3" xfId="25" applyBorder="1">
      <alignment horizontal="left" vertical="center" indent="1"/>
      <protection/>
    </xf>
    <xf numFmtId="0" fontId="15" fillId="5" borderId="13" xfId="25" applyBorder="1">
      <alignment horizontal="left" vertical="center" indent="1"/>
      <protection/>
    </xf>
    <xf numFmtId="0" fontId="15" fillId="5" borderId="14" xfId="25" applyBorder="1">
      <alignment horizontal="left" vertical="center" indent="1"/>
      <protection/>
    </xf>
    <xf numFmtId="0" fontId="0" fillId="6" borderId="3" xfId="26" applyBorder="1" applyAlignment="1">
      <alignment/>
      <protection locked="0"/>
    </xf>
    <xf numFmtId="0" fontId="1" fillId="3" borderId="2" xfId="22" applyBorder="1">
      <alignment horizontal="left" vertical="center" indent="1"/>
      <protection/>
    </xf>
    <xf numFmtId="0" fontId="1" fillId="3" borderId="2" xfId="22" applyBorder="1" applyAlignment="1">
      <alignment horizontal="left" vertical="center" indent="2"/>
      <protection/>
    </xf>
    <xf numFmtId="0" fontId="15" fillId="5" borderId="2" xfId="25" applyBorder="1">
      <alignment horizontal="left" vertical="center" indent="1"/>
      <protection/>
    </xf>
    <xf numFmtId="0" fontId="0" fillId="6" borderId="3" xfId="26" applyNumberFormat="1" applyBorder="1" applyAlignment="1">
      <alignment/>
      <protection locked="0"/>
    </xf>
    <xf numFmtId="0" fontId="1" fillId="3" borderId="2" xfId="22" applyFont="1" applyBorder="1" applyAlignment="1">
      <alignment horizontal="left" vertical="center" indent="2"/>
      <protection/>
    </xf>
    <xf numFmtId="0" fontId="1" fillId="3" borderId="14" xfId="22" applyBorder="1" applyAlignment="1">
      <alignment horizontal="left" vertical="center" indent="2"/>
      <protection/>
    </xf>
    <xf numFmtId="0" fontId="15" fillId="5" borderId="15" xfId="25" applyBorder="1">
      <alignment horizontal="left" vertical="center" indent="1"/>
      <protection/>
    </xf>
    <xf numFmtId="0" fontId="15" fillId="5" borderId="0" xfId="25">
      <alignment horizontal="left" vertical="center" indent="1"/>
      <protection/>
    </xf>
    <xf numFmtId="0" fontId="15" fillId="5" borderId="0" xfId="25" applyFont="1">
      <alignment horizontal="left" vertical="center" indent="1"/>
      <protection/>
    </xf>
    <xf numFmtId="0" fontId="1" fillId="3" borderId="2" xfId="22" applyFont="1">
      <alignment horizontal="left" vertical="center" indent="1"/>
      <protection/>
    </xf>
    <xf numFmtId="0" fontId="0" fillId="4" borderId="0" xfId="24" applyAlignment="1">
      <alignment/>
    </xf>
    <xf numFmtId="0" fontId="0" fillId="4" borderId="0" xfId="24" applyFont="1" applyAlignment="1">
      <alignment/>
    </xf>
    <xf numFmtId="0" fontId="1" fillId="3" borderId="0" xfId="0" applyFont="1" applyFill="1" applyAlignment="1">
      <alignment/>
    </xf>
    <xf numFmtId="192" fontId="0" fillId="6" borderId="8" xfId="17" applyNumberFormat="1" applyBorder="1" applyAlignment="1">
      <alignment/>
    </xf>
    <xf numFmtId="44" fontId="0" fillId="4" borderId="3" xfId="17" applyFont="1" applyFill="1" applyBorder="1" applyAlignment="1" applyProtection="1">
      <alignment vertical="center"/>
      <protection/>
    </xf>
    <xf numFmtId="1" fontId="0" fillId="6" borderId="8" xfId="26" applyNumberFormat="1" applyBorder="1" applyAlignment="1">
      <alignment/>
      <protection locked="0"/>
    </xf>
    <xf numFmtId="0" fontId="1" fillId="3" borderId="2" xfId="22" applyFont="1" applyBorder="1">
      <alignment horizontal="left" vertical="center" indent="1"/>
      <protection/>
    </xf>
    <xf numFmtId="192" fontId="0" fillId="6" borderId="3" xfId="17" applyNumberFormat="1" applyFont="1" applyBorder="1" applyAlignment="1" applyProtection="1">
      <alignment/>
      <protection locked="0"/>
    </xf>
    <xf numFmtId="192" fontId="0" fillId="6" borderId="3" xfId="17" applyNumberFormat="1" applyBorder="1" applyAlignment="1" applyProtection="1">
      <alignment/>
      <protection locked="0"/>
    </xf>
    <xf numFmtId="167" fontId="0" fillId="6" borderId="3" xfId="26" applyNumberFormat="1" applyBorder="1" applyAlignment="1" applyProtection="1">
      <alignment/>
      <protection locked="0"/>
    </xf>
    <xf numFmtId="44" fontId="0" fillId="6" borderId="3" xfId="17" applyNumberFormat="1" applyBorder="1" applyAlignment="1" applyProtection="1">
      <alignment/>
      <protection locked="0"/>
    </xf>
    <xf numFmtId="44" fontId="0" fillId="6" borderId="3" xfId="17" applyBorder="1" applyAlignment="1" applyProtection="1">
      <alignment/>
      <protection locked="0"/>
    </xf>
    <xf numFmtId="167" fontId="0" fillId="6" borderId="3" xfId="26" applyNumberFormat="1" applyBorder="1" applyAlignment="1" applyProtection="1">
      <alignment/>
      <protection locked="0"/>
    </xf>
    <xf numFmtId="165" fontId="0" fillId="6" borderId="3" xfId="26" applyNumberFormat="1" applyBorder="1" applyAlignment="1" applyProtection="1">
      <alignment/>
      <protection locked="0"/>
    </xf>
    <xf numFmtId="44" fontId="0" fillId="6" borderId="3" xfId="17" applyBorder="1" applyAlignment="1" applyProtection="1">
      <alignment vertical="center"/>
      <protection locked="0"/>
    </xf>
    <xf numFmtId="42" fontId="0" fillId="6" borderId="3" xfId="26" applyNumberFormat="1" applyBorder="1" applyAlignment="1" applyProtection="1">
      <alignment/>
      <protection locked="0"/>
    </xf>
    <xf numFmtId="0" fontId="0" fillId="6" borderId="0" xfId="17" applyNumberFormat="1" applyBorder="1" applyAlignment="1" applyProtection="1">
      <alignment vertical="center"/>
      <protection locked="0"/>
    </xf>
    <xf numFmtId="0" fontId="1" fillId="0" borderId="0" xfId="0" applyFont="1" applyAlignment="1">
      <alignment/>
    </xf>
    <xf numFmtId="0" fontId="7" fillId="0" borderId="0" xfId="0" applyFont="1" applyFill="1" applyBorder="1" applyAlignment="1" applyProtection="1">
      <alignment horizontal="left" wrapText="1"/>
      <protection locked="0"/>
    </xf>
    <xf numFmtId="0" fontId="6" fillId="0" borderId="0" xfId="0" applyNumberFormat="1" applyFont="1" applyBorder="1" applyAlignment="1" applyProtection="1">
      <alignment horizontal="center"/>
      <protection/>
    </xf>
    <xf numFmtId="0" fontId="0" fillId="0" borderId="5" xfId="0" applyNumberFormat="1" applyBorder="1" applyAlignment="1" applyProtection="1">
      <alignment horizontal="center"/>
      <protection/>
    </xf>
    <xf numFmtId="0" fontId="0" fillId="0" borderId="0" xfId="0" applyAlignment="1">
      <alignment wrapText="1"/>
    </xf>
    <xf numFmtId="0" fontId="0" fillId="0" borderId="0" xfId="0" applyFill="1" applyAlignment="1">
      <alignment wrapText="1"/>
    </xf>
    <xf numFmtId="0" fontId="2" fillId="2" borderId="1" xfId="20">
      <alignment horizontal="center" vertical="center"/>
      <protection/>
    </xf>
    <xf numFmtId="0" fontId="2" fillId="2" borderId="16" xfId="20" applyBorder="1">
      <alignment horizontal="center" vertical="center"/>
      <protection/>
    </xf>
    <xf numFmtId="0" fontId="2" fillId="2" borderId="17" xfId="20" applyBorder="1">
      <alignment horizontal="center" vertical="center"/>
      <protection/>
    </xf>
    <xf numFmtId="0" fontId="2" fillId="2" borderId="1" xfId="20" applyBorder="1">
      <alignment horizontal="center" vertical="center"/>
      <protection/>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165" fontId="0" fillId="0" borderId="0" xfId="0" applyNumberFormat="1" applyAlignment="1">
      <alignment horizontal="left"/>
    </xf>
    <xf numFmtId="42" fontId="0" fillId="6" borderId="3" xfId="26" applyNumberFormat="1" applyFont="1" applyBorder="1" applyAlignment="1" applyProtection="1">
      <alignment/>
      <protection locked="0"/>
    </xf>
  </cellXfs>
  <cellStyles count="13">
    <cellStyle name="Normal" xfId="0"/>
    <cellStyle name="Comma" xfId="15"/>
    <cellStyle name="Comma [0]" xfId="16"/>
    <cellStyle name="Currency" xfId="17"/>
    <cellStyle name="Currency [0]" xfId="18"/>
    <cellStyle name="Followed Hyperlink" xfId="19"/>
    <cellStyle name="Heading" xfId="20"/>
    <cellStyle name="Hyperlink" xfId="21"/>
    <cellStyle name="label" xfId="22"/>
    <cellStyle name="Percent" xfId="23"/>
    <cellStyle name="result" xfId="24"/>
    <cellStyle name="sub" xfId="25"/>
    <cellStyle name="variable" xfId="26"/>
  </cellStyles>
  <dxfs count="8">
    <dxf>
      <font>
        <color rgb="FFFFFFFF"/>
      </font>
      <fill>
        <patternFill>
          <bgColor rgb="FF008000"/>
        </patternFill>
      </fill>
      <border/>
    </dxf>
    <dxf>
      <fill>
        <patternFill patternType="darkDown">
          <bgColor rgb="FF969696"/>
        </patternFill>
      </fill>
      <border/>
    </dxf>
    <dxf>
      <fill>
        <patternFill patternType="darkDown"/>
      </fill>
      <border/>
    </dxf>
    <dxf>
      <font>
        <b/>
        <i val="0"/>
        <color auto="1"/>
      </font>
      <fill>
        <patternFill>
          <bgColor rgb="FF99CCFF"/>
        </patternFill>
      </fill>
      <border/>
    </dxf>
    <dxf>
      <font>
        <color auto="1"/>
      </font>
      <fill>
        <patternFill patternType="darkDown">
          <fgColor indexed="64"/>
          <bgColor rgb="FF969696"/>
        </patternFill>
      </fill>
      <border/>
    </dxf>
    <dxf>
      <font>
        <color rgb="FFFF0000"/>
      </font>
      <fill>
        <patternFill>
          <bgColor rgb="FFCCFFCC"/>
        </patternFill>
      </fill>
      <border/>
    </dxf>
    <dxf>
      <fill>
        <patternFill>
          <bgColor rgb="FFFFFF99"/>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D82"/>
  <sheetViews>
    <sheetView zoomScale="70" zoomScaleNormal="70" zoomScaleSheetLayoutView="75" workbookViewId="0" topLeftCell="A44">
      <selection activeCell="D58" sqref="D58"/>
    </sheetView>
  </sheetViews>
  <sheetFormatPr defaultColWidth="9.140625" defaultRowHeight="12.75"/>
  <cols>
    <col min="1" max="1" width="4.57421875" style="0" customWidth="1"/>
    <col min="2" max="2" width="21.00390625" style="0" customWidth="1"/>
    <col min="3" max="3" width="88.28125" style="0" customWidth="1"/>
  </cols>
  <sheetData>
    <row r="1" spans="1:4" ht="17.25">
      <c r="A1" s="127" t="s">
        <v>46</v>
      </c>
      <c r="B1" s="127"/>
      <c r="C1" s="127"/>
      <c r="D1" s="9"/>
    </row>
    <row r="2" spans="1:4" ht="13.5" thickBot="1">
      <c r="A2" s="128" t="s">
        <v>33</v>
      </c>
      <c r="B2" s="128"/>
      <c r="C2" s="128"/>
      <c r="D2" s="18"/>
    </row>
    <row r="3" ht="15">
      <c r="A3" s="3" t="s">
        <v>34</v>
      </c>
    </row>
    <row r="4" spans="2:3" ht="28.5" customHeight="1">
      <c r="B4" s="129" t="s">
        <v>126</v>
      </c>
      <c r="C4" s="129"/>
    </row>
    <row r="6" ht="12.75">
      <c r="B6" t="s">
        <v>35</v>
      </c>
    </row>
    <row r="7" ht="15">
      <c r="A7" s="3" t="s">
        <v>36</v>
      </c>
    </row>
    <row r="8" ht="12.75">
      <c r="B8" s="5" t="s">
        <v>148</v>
      </c>
    </row>
    <row r="9" spans="1:3" ht="12.75">
      <c r="A9" s="92"/>
      <c r="B9" s="92" t="s">
        <v>169</v>
      </c>
      <c r="C9" s="92"/>
    </row>
    <row r="10" spans="1:2" ht="12.75">
      <c r="A10" s="5"/>
      <c r="B10" s="5" t="s">
        <v>37</v>
      </c>
    </row>
    <row r="11" spans="1:2" ht="12.75">
      <c r="A11" s="5"/>
      <c r="B11" s="5" t="s">
        <v>109</v>
      </c>
    </row>
    <row r="12" spans="1:2" ht="12.75">
      <c r="A12" s="5"/>
      <c r="B12" s="5" t="s">
        <v>147</v>
      </c>
    </row>
    <row r="13" spans="1:3" ht="12.75">
      <c r="A13" s="105"/>
      <c r="B13" s="106" t="s">
        <v>165</v>
      </c>
      <c r="C13" s="105"/>
    </row>
    <row r="14" spans="1:3" ht="12.75">
      <c r="A14" s="11"/>
      <c r="B14" s="107" t="s">
        <v>167</v>
      </c>
      <c r="C14" s="90"/>
    </row>
    <row r="15" spans="1:2" ht="12.75">
      <c r="A15" s="16"/>
      <c r="B15" s="5" t="s">
        <v>39</v>
      </c>
    </row>
    <row r="16" spans="1:2" ht="12.75">
      <c r="A16" s="15"/>
      <c r="B16" s="5" t="s">
        <v>44</v>
      </c>
    </row>
    <row r="17" spans="1:2" ht="12.75">
      <c r="A17" s="10"/>
      <c r="B17" s="5" t="s">
        <v>164</v>
      </c>
    </row>
    <row r="18" spans="1:2" ht="12.75">
      <c r="A18" s="17"/>
      <c r="B18" s="5" t="s">
        <v>80</v>
      </c>
    </row>
    <row r="19" spans="1:3" ht="12.75">
      <c r="A19" s="19"/>
      <c r="B19" s="109" t="s">
        <v>168</v>
      </c>
      <c r="C19" s="108"/>
    </row>
    <row r="20" spans="1:2" ht="12.75">
      <c r="A20" s="42"/>
      <c r="B20" s="5" t="s">
        <v>110</v>
      </c>
    </row>
    <row r="21" spans="1:2" ht="15">
      <c r="A21" s="3" t="s">
        <v>38</v>
      </c>
      <c r="B21" s="5"/>
    </row>
    <row r="22" spans="2:3" ht="25.5" customHeight="1">
      <c r="B22" s="130" t="s">
        <v>120</v>
      </c>
      <c r="C22" s="130"/>
    </row>
    <row r="23" spans="2:3" ht="24.75" customHeight="1">
      <c r="B23" s="130" t="s">
        <v>121</v>
      </c>
      <c r="C23" s="130"/>
    </row>
    <row r="24" spans="2:3" ht="12.75">
      <c r="B24" s="130" t="s">
        <v>122</v>
      </c>
      <c r="C24" s="130"/>
    </row>
    <row r="25" spans="1:4" ht="15">
      <c r="A25" s="92" t="s">
        <v>40</v>
      </c>
      <c r="B25" s="92"/>
      <c r="C25" s="92"/>
      <c r="D25" s="3"/>
    </row>
    <row r="26" spans="1:3" ht="39">
      <c r="A26" s="92"/>
      <c r="B26" s="12" t="s">
        <v>57</v>
      </c>
      <c r="C26" s="44" t="s">
        <v>119</v>
      </c>
    </row>
    <row r="27" spans="1:3" ht="52.5">
      <c r="A27" s="92"/>
      <c r="B27" s="12" t="s">
        <v>85</v>
      </c>
      <c r="C27" s="44" t="s">
        <v>179</v>
      </c>
    </row>
    <row r="28" spans="1:3" ht="26.25">
      <c r="A28" s="92"/>
      <c r="B28" s="126" t="s">
        <v>171</v>
      </c>
      <c r="C28" s="44" t="s">
        <v>174</v>
      </c>
    </row>
    <row r="29" spans="1:3" ht="12.75">
      <c r="A29" s="92"/>
      <c r="B29" s="12" t="s">
        <v>105</v>
      </c>
      <c r="C29" s="44" t="s">
        <v>159</v>
      </c>
    </row>
    <row r="30" spans="1:3" ht="12.75">
      <c r="A30" s="5"/>
      <c r="B30" s="104" t="s">
        <v>5</v>
      </c>
      <c r="C30" s="44"/>
    </row>
    <row r="31" spans="1:3" ht="12.75">
      <c r="A31" s="92"/>
      <c r="B31" s="12" t="s">
        <v>47</v>
      </c>
      <c r="C31" s="44" t="s">
        <v>54</v>
      </c>
    </row>
    <row r="32" spans="1:3" ht="12.75">
      <c r="A32" s="92"/>
      <c r="B32" s="12" t="s">
        <v>48</v>
      </c>
      <c r="C32" s="44" t="s">
        <v>53</v>
      </c>
    </row>
    <row r="33" spans="1:3" ht="12.75">
      <c r="A33" s="92"/>
      <c r="B33" s="12" t="s">
        <v>49</v>
      </c>
      <c r="C33" s="44" t="s">
        <v>52</v>
      </c>
    </row>
    <row r="34" spans="1:3" ht="12.75">
      <c r="A34" s="92"/>
      <c r="B34" s="12" t="s">
        <v>50</v>
      </c>
      <c r="C34" s="44" t="s">
        <v>107</v>
      </c>
    </row>
    <row r="35" spans="1:3" ht="12.75">
      <c r="A35" s="92"/>
      <c r="B35" s="12" t="s">
        <v>8</v>
      </c>
      <c r="C35" s="44" t="s">
        <v>51</v>
      </c>
    </row>
    <row r="36" spans="1:3" ht="12.75">
      <c r="A36" s="5"/>
      <c r="B36" s="104" t="s">
        <v>55</v>
      </c>
      <c r="C36" s="44"/>
    </row>
    <row r="37" spans="1:3" ht="12.75">
      <c r="A37" s="92"/>
      <c r="B37" s="12" t="s">
        <v>56</v>
      </c>
      <c r="C37" s="44" t="s">
        <v>108</v>
      </c>
    </row>
    <row r="38" spans="1:3" ht="12.75">
      <c r="A38" s="92"/>
      <c r="B38" s="12" t="s">
        <v>8</v>
      </c>
      <c r="C38" s="44" t="s">
        <v>115</v>
      </c>
    </row>
    <row r="39" spans="1:3" ht="12.75">
      <c r="A39" s="5"/>
      <c r="B39" s="104" t="s">
        <v>101</v>
      </c>
      <c r="C39" s="44"/>
    </row>
    <row r="40" spans="1:3" ht="12.75">
      <c r="A40" s="92"/>
      <c r="B40" s="12" t="s">
        <v>16</v>
      </c>
      <c r="C40" s="44" t="s">
        <v>61</v>
      </c>
    </row>
    <row r="41" spans="1:3" ht="12.75">
      <c r="A41" s="92"/>
      <c r="B41" s="12" t="s">
        <v>58</v>
      </c>
      <c r="C41" s="44" t="s">
        <v>133</v>
      </c>
    </row>
    <row r="42" spans="1:3" ht="12.75">
      <c r="A42" s="92"/>
      <c r="B42" s="12" t="s">
        <v>59</v>
      </c>
      <c r="C42" s="44" t="s">
        <v>116</v>
      </c>
    </row>
    <row r="43" spans="1:3" ht="12.75">
      <c r="A43" s="92"/>
      <c r="B43" s="12" t="s">
        <v>60</v>
      </c>
      <c r="C43" s="44" t="s">
        <v>134</v>
      </c>
    </row>
    <row r="44" spans="1:3" ht="12.75">
      <c r="A44" s="5"/>
      <c r="B44" s="104" t="s">
        <v>23</v>
      </c>
      <c r="C44" s="44"/>
    </row>
    <row r="45" spans="1:3" ht="12.75">
      <c r="A45" s="92"/>
      <c r="B45" s="12" t="s">
        <v>19</v>
      </c>
      <c r="C45" s="44" t="s">
        <v>75</v>
      </c>
    </row>
    <row r="46" spans="1:3" ht="12.75">
      <c r="A46" s="92"/>
      <c r="B46" s="12" t="s">
        <v>18</v>
      </c>
      <c r="C46" s="44" t="s">
        <v>76</v>
      </c>
    </row>
    <row r="47" spans="1:3" ht="26.25">
      <c r="A47" s="92"/>
      <c r="B47" s="12" t="s">
        <v>66</v>
      </c>
      <c r="C47" s="44" t="s">
        <v>118</v>
      </c>
    </row>
    <row r="48" spans="1:3" ht="12.75">
      <c r="A48" s="92"/>
      <c r="B48" s="93" t="s">
        <v>24</v>
      </c>
      <c r="C48" s="44"/>
    </row>
    <row r="49" spans="1:3" ht="12.75">
      <c r="A49" s="92"/>
      <c r="B49" s="12" t="s">
        <v>20</v>
      </c>
      <c r="C49" s="44" t="s">
        <v>71</v>
      </c>
    </row>
    <row r="50" spans="1:3" ht="12.75">
      <c r="A50" s="92"/>
      <c r="B50" s="12" t="s">
        <v>21</v>
      </c>
      <c r="C50" s="44" t="s">
        <v>70</v>
      </c>
    </row>
    <row r="51" spans="1:3" ht="12.75">
      <c r="A51" s="5"/>
      <c r="B51" s="93" t="s">
        <v>135</v>
      </c>
      <c r="C51" s="44"/>
    </row>
    <row r="52" spans="1:3" ht="12.75">
      <c r="A52" s="92"/>
      <c r="B52" s="12" t="s">
        <v>136</v>
      </c>
      <c r="C52" s="44" t="s">
        <v>62</v>
      </c>
    </row>
    <row r="53" spans="1:3" ht="52.5">
      <c r="A53" s="92"/>
      <c r="B53" s="12" t="s">
        <v>63</v>
      </c>
      <c r="C53" s="44" t="s">
        <v>125</v>
      </c>
    </row>
    <row r="54" spans="1:3" ht="12.75">
      <c r="A54" s="5"/>
      <c r="B54" s="93" t="s">
        <v>137</v>
      </c>
      <c r="C54" s="44"/>
    </row>
    <row r="55" spans="1:3" ht="39">
      <c r="A55" s="92"/>
      <c r="B55" s="12" t="s">
        <v>64</v>
      </c>
      <c r="C55" s="44" t="s">
        <v>180</v>
      </c>
    </row>
    <row r="56" spans="1:3" ht="26.25">
      <c r="A56" s="92"/>
      <c r="B56" s="12" t="s">
        <v>65</v>
      </c>
      <c r="C56" s="44" t="s">
        <v>177</v>
      </c>
    </row>
    <row r="57" spans="1:3" ht="39">
      <c r="A57" s="92"/>
      <c r="B57" s="12" t="s">
        <v>141</v>
      </c>
      <c r="C57" s="44" t="s">
        <v>124</v>
      </c>
    </row>
    <row r="58" spans="1:3" ht="39">
      <c r="A58" s="92"/>
      <c r="B58" s="12" t="s">
        <v>139</v>
      </c>
      <c r="C58" s="44" t="s">
        <v>140</v>
      </c>
    </row>
    <row r="59" spans="1:3" ht="12.75">
      <c r="A59" s="92"/>
      <c r="B59" s="12" t="s">
        <v>67</v>
      </c>
      <c r="C59" s="44" t="s">
        <v>68</v>
      </c>
    </row>
    <row r="60" spans="1:3" ht="26.25">
      <c r="A60" s="92"/>
      <c r="B60" s="12" t="s">
        <v>69</v>
      </c>
      <c r="C60" s="44" t="s">
        <v>178</v>
      </c>
    </row>
    <row r="61" spans="1:3" ht="15">
      <c r="A61" s="47" t="s">
        <v>10</v>
      </c>
      <c r="B61" s="48"/>
      <c r="C61" s="19"/>
    </row>
    <row r="62" spans="2:4" ht="26.25">
      <c r="B62" t="s">
        <v>127</v>
      </c>
      <c r="C62" s="44" t="s">
        <v>154</v>
      </c>
      <c r="D62" s="45"/>
    </row>
    <row r="63" spans="2:4" ht="12.75">
      <c r="B63" t="s">
        <v>128</v>
      </c>
      <c r="C63" t="s">
        <v>142</v>
      </c>
      <c r="D63" s="45"/>
    </row>
    <row r="64" spans="2:4" ht="105">
      <c r="B64" t="s">
        <v>129</v>
      </c>
      <c r="C64" s="46" t="s">
        <v>150</v>
      </c>
      <c r="D64" s="45"/>
    </row>
    <row r="65" spans="2:4" ht="52.5">
      <c r="B65" t="s">
        <v>96</v>
      </c>
      <c r="C65" s="45" t="s">
        <v>146</v>
      </c>
      <c r="D65" s="45"/>
    </row>
    <row r="66" spans="2:4" ht="26.25">
      <c r="B66" t="s">
        <v>113</v>
      </c>
      <c r="C66" s="45" t="s">
        <v>144</v>
      </c>
      <c r="D66" s="45"/>
    </row>
    <row r="67" spans="2:4" ht="39">
      <c r="B67" t="s">
        <v>130</v>
      </c>
      <c r="C67" s="45" t="s">
        <v>145</v>
      </c>
      <c r="D67" s="45"/>
    </row>
    <row r="68" spans="2:4" ht="39">
      <c r="B68" t="s">
        <v>102</v>
      </c>
      <c r="C68" s="44" t="s">
        <v>132</v>
      </c>
      <c r="D68" s="45"/>
    </row>
    <row r="69" ht="12.75">
      <c r="A69" s="5"/>
    </row>
    <row r="70" spans="1:3" ht="12.75">
      <c r="A70" s="5"/>
      <c r="B70" s="110" t="s">
        <v>41</v>
      </c>
      <c r="C70" s="110"/>
    </row>
    <row r="71" spans="2:3" ht="12.75">
      <c r="B71" s="110" t="s">
        <v>42</v>
      </c>
      <c r="C71" s="110"/>
    </row>
    <row r="72" spans="1:3" ht="12.75">
      <c r="A72" s="5" t="s">
        <v>156</v>
      </c>
      <c r="B72" s="5"/>
      <c r="C72" s="5"/>
    </row>
    <row r="73" spans="1:3" ht="12.75">
      <c r="A73" s="80">
        <v>1</v>
      </c>
      <c r="B73" s="79">
        <v>37006</v>
      </c>
      <c r="C73" s="5"/>
    </row>
    <row r="74" spans="1:3" ht="12.75">
      <c r="A74" s="80">
        <v>1.1</v>
      </c>
      <c r="B74" s="79">
        <v>37076</v>
      </c>
      <c r="C74" s="5" t="s">
        <v>111</v>
      </c>
    </row>
    <row r="75" spans="1:3" ht="12.75">
      <c r="A75" s="80">
        <v>1.2</v>
      </c>
      <c r="B75" s="79">
        <v>37231</v>
      </c>
      <c r="C75" s="5" t="s">
        <v>131</v>
      </c>
    </row>
    <row r="76" spans="1:3" ht="26.25">
      <c r="A76" s="80">
        <v>1.3</v>
      </c>
      <c r="B76" s="79">
        <v>37239</v>
      </c>
      <c r="C76" s="77" t="s">
        <v>166</v>
      </c>
    </row>
    <row r="77" spans="1:3" ht="12.75">
      <c r="A77" s="80">
        <v>1.4</v>
      </c>
      <c r="B77" s="79">
        <v>37306</v>
      </c>
      <c r="C77" s="77" t="s">
        <v>175</v>
      </c>
    </row>
    <row r="78" ht="12.75">
      <c r="A78" s="81"/>
    </row>
    <row r="79" ht="15">
      <c r="A79" s="3" t="s">
        <v>43</v>
      </c>
    </row>
    <row r="80" spans="1:2" ht="15">
      <c r="A80" s="3"/>
      <c r="B80" t="s">
        <v>176</v>
      </c>
    </row>
    <row r="81" spans="1:2" ht="12.75">
      <c r="A81" s="5"/>
      <c r="B81" s="2"/>
    </row>
    <row r="82" spans="1:2" ht="12.75">
      <c r="A82" s="14"/>
      <c r="B82" s="13"/>
    </row>
  </sheetData>
  <mergeCells count="6">
    <mergeCell ref="A1:C1"/>
    <mergeCell ref="A2:C2"/>
    <mergeCell ref="B4:C4"/>
    <mergeCell ref="B24:C24"/>
    <mergeCell ref="B23:C23"/>
    <mergeCell ref="B22:C22"/>
  </mergeCells>
  <printOptions/>
  <pageMargins left="0.75" right="0.75" top="1" bottom="1" header="0.5" footer="0.5"/>
  <pageSetup horizontalDpi="300" verticalDpi="300" orientation="portrait" scale="78" r:id="rId2"/>
  <legacyDrawing r:id="rId1"/>
</worksheet>
</file>

<file path=xl/worksheets/sheet2.xml><?xml version="1.0" encoding="utf-8"?>
<worksheet xmlns="http://schemas.openxmlformats.org/spreadsheetml/2006/main" xmlns:r="http://schemas.openxmlformats.org/officeDocument/2006/relationships">
  <sheetPr codeName="Sheet2"/>
  <dimension ref="A1:K38"/>
  <sheetViews>
    <sheetView showGridLines="0" showRowColHeaders="0" tabSelected="1" zoomScale="101" zoomScaleNormal="101" workbookViewId="0" topLeftCell="A1">
      <selection activeCell="B1" sqref="B1"/>
    </sheetView>
  </sheetViews>
  <sheetFormatPr defaultColWidth="9.140625" defaultRowHeight="12.75"/>
  <cols>
    <col min="1" max="1" width="12.8515625" style="0" customWidth="1"/>
    <col min="2" max="2" width="27.140625" style="0" customWidth="1"/>
    <col min="3" max="3" width="2.28125" style="0" customWidth="1"/>
    <col min="4" max="4" width="13.00390625" style="2" customWidth="1"/>
    <col min="5" max="5" width="24.57421875" style="0" customWidth="1"/>
    <col min="6" max="6" width="2.140625" style="1" customWidth="1"/>
    <col min="7" max="7" width="13.421875" style="0" customWidth="1"/>
    <col min="8" max="8" width="27.7109375" style="0" bestFit="1" customWidth="1"/>
    <col min="9" max="9" width="10.28125" style="0" customWidth="1"/>
    <col min="10" max="10" width="13.28125" style="0" bestFit="1" customWidth="1"/>
  </cols>
  <sheetData>
    <row r="1" spans="1:8" ht="18.75" thickBot="1">
      <c r="A1" s="82" t="str">
        <f>"Scenario "&amp;scenario&amp;":"</f>
        <v>Scenario :</v>
      </c>
      <c r="B1" s="124"/>
      <c r="C1" s="87"/>
      <c r="D1" s="135" t="s">
        <v>45</v>
      </c>
      <c r="E1" s="136"/>
      <c r="F1" s="136"/>
      <c r="G1" s="136"/>
      <c r="H1" s="137"/>
    </row>
    <row r="2" spans="1:8" ht="17.25" customHeight="1" thickBot="1">
      <c r="A2" s="57"/>
      <c r="B2" s="57"/>
      <c r="C2" s="57"/>
      <c r="D2" s="58"/>
      <c r="E2" s="85" t="s">
        <v>158</v>
      </c>
      <c r="H2" s="83"/>
    </row>
    <row r="3" spans="1:9" s="3" customFormat="1" ht="15.75" customHeight="1">
      <c r="A3" s="134" t="s">
        <v>87</v>
      </c>
      <c r="B3" s="134"/>
      <c r="C3" s="60"/>
      <c r="D3" s="134" t="s">
        <v>91</v>
      </c>
      <c r="E3" s="134"/>
      <c r="F3" s="61"/>
      <c r="G3" s="134" t="s">
        <v>113</v>
      </c>
      <c r="H3" s="134"/>
      <c r="I3" s="68">
        <v>1</v>
      </c>
    </row>
    <row r="4" spans="1:11" ht="15.75" customHeight="1">
      <c r="A4" s="94" t="s">
        <v>6</v>
      </c>
      <c r="B4" s="96"/>
      <c r="C4" s="59"/>
      <c r="D4" s="95" t="s">
        <v>152</v>
      </c>
      <c r="E4" s="100"/>
      <c r="F4" s="59"/>
      <c r="G4" s="94" t="s">
        <v>25</v>
      </c>
      <c r="H4" s="96"/>
      <c r="J4" s="2"/>
      <c r="K4" s="75"/>
    </row>
    <row r="5" spans="1:11" ht="15.75" customHeight="1">
      <c r="A5" s="115">
        <v>35000</v>
      </c>
      <c r="B5" s="98" t="s">
        <v>4</v>
      </c>
      <c r="C5" s="59"/>
      <c r="D5" s="123">
        <v>4</v>
      </c>
      <c r="E5" s="99" t="s">
        <v>9</v>
      </c>
      <c r="F5" s="59"/>
      <c r="G5" s="25">
        <f>INT(number*mem_hours+owner_hours*owners*(I3-1))</f>
        <v>240</v>
      </c>
      <c r="H5" s="52" t="s">
        <v>11</v>
      </c>
      <c r="J5" s="74"/>
      <c r="K5" s="75"/>
    </row>
    <row r="6" spans="1:11" ht="15.75" customHeight="1">
      <c r="A6" s="116">
        <v>35000</v>
      </c>
      <c r="B6" s="98" t="s">
        <v>85</v>
      </c>
      <c r="C6" s="59"/>
      <c r="D6" s="139">
        <v>60</v>
      </c>
      <c r="E6" s="99" t="s">
        <v>93</v>
      </c>
      <c r="F6" s="59"/>
      <c r="G6" s="26">
        <f>hours/(52-G7)</f>
        <v>4.702194357366771</v>
      </c>
      <c r="H6" s="51" t="s">
        <v>72</v>
      </c>
      <c r="J6" s="75"/>
      <c r="K6" s="75"/>
    </row>
    <row r="7" spans="1:11" ht="15.75" customHeight="1">
      <c r="A7" s="116">
        <v>20000</v>
      </c>
      <c r="B7" s="114" t="s">
        <v>171</v>
      </c>
      <c r="C7" s="59"/>
      <c r="D7" s="122">
        <v>15</v>
      </c>
      <c r="E7" s="99" t="s">
        <v>117</v>
      </c>
      <c r="F7" s="59"/>
      <c r="G7" s="25">
        <f>IF(A21&gt;0,hours/100,hours/250)</f>
        <v>0.96</v>
      </c>
      <c r="H7" s="52" t="s">
        <v>73</v>
      </c>
      <c r="J7" s="138"/>
      <c r="K7" s="75"/>
    </row>
    <row r="8" spans="1:11" ht="15.75" customHeight="1">
      <c r="A8" s="117">
        <v>250</v>
      </c>
      <c r="B8" s="98" t="s">
        <v>106</v>
      </c>
      <c r="C8" s="59"/>
      <c r="D8" s="103" t="s">
        <v>138</v>
      </c>
      <c r="E8" s="98"/>
      <c r="F8" s="59"/>
      <c r="G8" s="25">
        <f>(52-G7)/number</f>
        <v>12.76</v>
      </c>
      <c r="H8" s="51" t="s">
        <v>22</v>
      </c>
      <c r="J8" s="75"/>
      <c r="K8" s="75"/>
    </row>
    <row r="9" spans="1:11" ht="15.75" customHeight="1">
      <c r="A9" s="33">
        <f>price-G15+other_one</f>
        <v>57187.5</v>
      </c>
      <c r="B9" s="43" t="s">
        <v>104</v>
      </c>
      <c r="C9" s="59"/>
      <c r="D9" s="103" t="s">
        <v>157</v>
      </c>
      <c r="E9" s="98"/>
      <c r="F9" s="59"/>
      <c r="G9" s="26">
        <f>tbo/hours</f>
        <v>8.333333333333334</v>
      </c>
      <c r="H9" s="52" t="s">
        <v>97</v>
      </c>
      <c r="J9" s="75"/>
      <c r="K9" s="75"/>
    </row>
    <row r="10" spans="1:11" ht="15.75" customHeight="1" thickBot="1">
      <c r="A10" s="94" t="s">
        <v>5</v>
      </c>
      <c r="B10" s="96"/>
      <c r="C10" s="57"/>
      <c r="D10" s="101">
        <v>1</v>
      </c>
      <c r="E10" s="4" t="s">
        <v>67</v>
      </c>
      <c r="F10" s="59"/>
      <c r="G10" s="27">
        <f>(tbo-tsmoh)/hours</f>
        <v>7.291666666666667</v>
      </c>
      <c r="H10" s="53" t="s">
        <v>94</v>
      </c>
      <c r="J10" s="75"/>
      <c r="K10" s="75"/>
    </row>
    <row r="11" spans="1:11" ht="15.75" customHeight="1" thickBot="1">
      <c r="A11" s="116">
        <v>2200</v>
      </c>
      <c r="B11" s="99" t="s">
        <v>0</v>
      </c>
      <c r="C11" s="59"/>
      <c r="D11" s="113">
        <v>0</v>
      </c>
      <c r="E11" s="36" t="s">
        <v>114</v>
      </c>
      <c r="F11" s="59"/>
      <c r="G11" s="57"/>
      <c r="H11" s="57"/>
      <c r="J11" s="75"/>
      <c r="K11" s="75"/>
    </row>
    <row r="12" spans="1:11" ht="15.75" customHeight="1" thickBot="1">
      <c r="A12" s="116">
        <v>500</v>
      </c>
      <c r="B12" s="99" t="s">
        <v>1</v>
      </c>
      <c r="C12" s="59"/>
      <c r="D12" s="34"/>
      <c r="E12" s="35"/>
      <c r="F12" s="59"/>
      <c r="G12" s="131" t="s">
        <v>32</v>
      </c>
      <c r="H12" s="131"/>
      <c r="J12" s="75"/>
      <c r="K12" s="75"/>
    </row>
    <row r="13" spans="1:8" ht="15.75" customHeight="1">
      <c r="A13" s="116">
        <v>1750</v>
      </c>
      <c r="B13" s="99" t="s">
        <v>2</v>
      </c>
      <c r="C13" s="59"/>
      <c r="D13" s="132" t="s">
        <v>90</v>
      </c>
      <c r="E13" s="133"/>
      <c r="F13" s="59"/>
      <c r="G13" s="23">
        <f>-down</f>
        <v>-35000</v>
      </c>
      <c r="H13" s="20" t="s">
        <v>103</v>
      </c>
    </row>
    <row r="14" spans="1:8" ht="15.75" customHeight="1">
      <c r="A14" s="116">
        <v>1000</v>
      </c>
      <c r="B14" s="99" t="s">
        <v>3</v>
      </c>
      <c r="C14" s="59"/>
      <c r="D14" s="94" t="s">
        <v>95</v>
      </c>
      <c r="E14" s="96"/>
      <c r="F14" s="59"/>
      <c r="G14" s="23">
        <f>-other_one</f>
        <v>-20000</v>
      </c>
      <c r="H14" s="20" t="s">
        <v>173</v>
      </c>
    </row>
    <row r="15" spans="1:8" ht="15.75" customHeight="1">
      <c r="A15" s="116">
        <v>0</v>
      </c>
      <c r="B15" s="99" t="s">
        <v>82</v>
      </c>
      <c r="C15" s="62"/>
      <c r="D15" s="63">
        <f>IF(own_type,0,down/number)</f>
        <v>8750</v>
      </c>
      <c r="E15" s="64" t="s">
        <v>85</v>
      </c>
      <c r="F15" s="59"/>
      <c r="G15" s="23">
        <f>-(1-(tbo-tsmoh)/tbo)*tbo_cost</f>
        <v>-2187.5</v>
      </c>
      <c r="H15" s="20" t="s">
        <v>92</v>
      </c>
    </row>
    <row r="16" spans="1:8" ht="15.75" customHeight="1">
      <c r="A16" s="94" t="s">
        <v>7</v>
      </c>
      <c r="B16" s="96"/>
      <c r="C16" s="59"/>
      <c r="D16" s="63">
        <f>IF(own_type,0,other_one/number)</f>
        <v>5000</v>
      </c>
      <c r="E16" s="64" t="s">
        <v>172</v>
      </c>
      <c r="F16" s="59"/>
      <c r="G16" s="22">
        <f>number*D18</f>
        <v>0</v>
      </c>
      <c r="H16" s="21" t="s">
        <v>28</v>
      </c>
    </row>
    <row r="17" spans="1:9" ht="15.75" customHeight="1">
      <c r="A17" s="118">
        <v>55</v>
      </c>
      <c r="B17" s="99" t="s">
        <v>160</v>
      </c>
      <c r="C17" s="59"/>
      <c r="D17" s="63">
        <f>IF(own_type,0,-G15/number)</f>
        <v>546.875</v>
      </c>
      <c r="E17" s="64" t="s">
        <v>98</v>
      </c>
      <c r="F17" s="59"/>
      <c r="G17" s="23">
        <f>-(Annual_Costs+Monthly_costs)</f>
        <v>-6230</v>
      </c>
      <c r="H17" s="20" t="s">
        <v>31</v>
      </c>
      <c r="I17" s="37"/>
    </row>
    <row r="18" spans="1:9" ht="15.75" customHeight="1">
      <c r="A18" s="118">
        <v>10</v>
      </c>
      <c r="B18" s="99" t="s">
        <v>83</v>
      </c>
      <c r="C18" s="59"/>
      <c r="D18" s="119">
        <v>0</v>
      </c>
      <c r="E18" s="99" t="s">
        <v>89</v>
      </c>
      <c r="F18" s="59"/>
      <c r="G18" s="23">
        <f>-loan_cost</f>
        <v>0</v>
      </c>
      <c r="H18" s="20" t="s">
        <v>100</v>
      </c>
      <c r="I18" s="37"/>
    </row>
    <row r="19" spans="1:8" ht="15.75" customHeight="1">
      <c r="A19" s="94" t="s">
        <v>101</v>
      </c>
      <c r="B19" s="96"/>
      <c r="C19" s="59"/>
      <c r="D19" s="49">
        <f>SUM(D15:D18)</f>
        <v>14296.875</v>
      </c>
      <c r="E19" s="50" t="s">
        <v>143</v>
      </c>
      <c r="F19" s="59"/>
      <c r="G19" s="23">
        <f>-hours*per_hour_cost</f>
        <v>-3300</v>
      </c>
      <c r="H19" s="51" t="str">
        <f>"Cost of flying "&amp;hours&amp;" hours"</f>
        <v>Cost of flying 240 hours</v>
      </c>
    </row>
    <row r="20" spans="1:8" ht="15.75" customHeight="1" thickBot="1">
      <c r="A20" s="115">
        <v>17500</v>
      </c>
      <c r="B20" s="99" t="s">
        <v>77</v>
      </c>
      <c r="C20" s="59"/>
      <c r="D20" s="94" t="s">
        <v>99</v>
      </c>
      <c r="E20" s="96"/>
      <c r="F20" s="59"/>
      <c r="G20" s="29">
        <f>SUM(G17:G19)</f>
        <v>-9530</v>
      </c>
      <c r="H20" s="30" t="s">
        <v>12</v>
      </c>
    </row>
    <row r="21" spans="1:8" ht="15.75" customHeight="1" thickTop="1">
      <c r="A21" s="116">
        <v>0</v>
      </c>
      <c r="B21" s="99" t="s">
        <v>15</v>
      </c>
      <c r="C21" s="59"/>
      <c r="D21" s="119">
        <v>125</v>
      </c>
      <c r="E21" s="99" t="s">
        <v>14</v>
      </c>
      <c r="F21" s="59"/>
      <c r="G21" s="24">
        <f>number*dues*12</f>
        <v>6000</v>
      </c>
      <c r="H21" s="20" t="s">
        <v>29</v>
      </c>
    </row>
    <row r="22" spans="1:8" ht="15.75" customHeight="1" thickBot="1">
      <c r="A22" s="119">
        <v>5</v>
      </c>
      <c r="B22" s="99" t="s">
        <v>17</v>
      </c>
      <c r="C22" s="59"/>
      <c r="D22" s="65">
        <f>IF(own_type,0,loan_cost/number/12)</f>
        <v>0</v>
      </c>
      <c r="E22" s="54" t="s">
        <v>123</v>
      </c>
      <c r="F22" s="59"/>
      <c r="G22" s="24">
        <f>number*mem_hours*rent_rate</f>
        <v>3600</v>
      </c>
      <c r="H22" s="20" t="s">
        <v>30</v>
      </c>
    </row>
    <row r="23" spans="1:8" ht="15.75" customHeight="1" thickBot="1" thickTop="1">
      <c r="A23" s="120">
        <v>2000</v>
      </c>
      <c r="B23" s="99" t="s">
        <v>13</v>
      </c>
      <c r="C23" s="59"/>
      <c r="D23" s="39">
        <f>dues*12+mem_hours*rent_rate+mem_hours*fuel_burn*fuel_cost+mem_loan*12</f>
        <v>3750</v>
      </c>
      <c r="E23" s="56" t="s">
        <v>151</v>
      </c>
      <c r="F23" s="59"/>
      <c r="G23" s="31">
        <f>G22+G21</f>
        <v>9600</v>
      </c>
      <c r="H23" s="32" t="s">
        <v>27</v>
      </c>
    </row>
    <row r="24" spans="1:8" ht="15.75" customHeight="1" thickBot="1" thickTop="1">
      <c r="A24" s="33">
        <f>tbo_cost/tbo+A21/100+A22</f>
        <v>13.75</v>
      </c>
      <c r="B24" s="43" t="s">
        <v>84</v>
      </c>
      <c r="C24" s="59"/>
      <c r="D24" s="66">
        <f>D23/mem_hours</f>
        <v>62.5</v>
      </c>
      <c r="E24" s="55" t="s">
        <v>74</v>
      </c>
      <c r="F24" s="59"/>
      <c r="G24" s="28">
        <f>ann_cost+ann_income</f>
        <v>70</v>
      </c>
      <c r="H24" s="7" t="s">
        <v>161</v>
      </c>
    </row>
    <row r="25" spans="1:8" ht="15.75" customHeight="1" thickBot="1">
      <c r="A25" s="94" t="s">
        <v>23</v>
      </c>
      <c r="B25" s="100"/>
      <c r="C25" s="59"/>
      <c r="F25" s="59"/>
      <c r="G25" s="57"/>
      <c r="H25" s="57"/>
    </row>
    <row r="26" spans="1:8" ht="15.75" customHeight="1">
      <c r="A26" s="119">
        <v>2.5</v>
      </c>
      <c r="B26" s="102" t="s">
        <v>163</v>
      </c>
      <c r="C26" s="57"/>
      <c r="D26" s="132" t="s">
        <v>96</v>
      </c>
      <c r="E26" s="133"/>
      <c r="F26" s="59"/>
      <c r="G26" s="131" t="s">
        <v>102</v>
      </c>
      <c r="H26" s="131"/>
    </row>
    <row r="27" spans="1:9" ht="15.75" customHeight="1">
      <c r="A27" s="121">
        <v>9</v>
      </c>
      <c r="B27" s="99" t="s">
        <v>81</v>
      </c>
      <c r="C27" s="57"/>
      <c r="D27" s="49">
        <f>IF(own_type,(eff_price)/owners,0)</f>
        <v>0</v>
      </c>
      <c r="E27" s="50" t="s">
        <v>143</v>
      </c>
      <c r="F27" s="59"/>
      <c r="G27" s="67">
        <f>price-A6-G16</f>
        <v>0</v>
      </c>
      <c r="H27" s="70" t="s">
        <v>86</v>
      </c>
      <c r="I27" s="38"/>
    </row>
    <row r="28" spans="1:8" ht="15.75" customHeight="1">
      <c r="A28" s="112">
        <f>fuel_burn*fuel_cost</f>
        <v>22.5</v>
      </c>
      <c r="B28" s="43" t="s">
        <v>26</v>
      </c>
      <c r="C28" s="57"/>
      <c r="D28" s="39">
        <f>IF(own_type,-owner_hours*(fuel_cost*fuel_burn)+net/D10,0)</f>
        <v>0</v>
      </c>
      <c r="E28" s="88" t="s">
        <v>162</v>
      </c>
      <c r="F28" s="59"/>
      <c r="G28" s="97">
        <v>15</v>
      </c>
      <c r="H28" s="73" t="s">
        <v>78</v>
      </c>
    </row>
    <row r="29" spans="1:8" ht="15.75" customHeight="1">
      <c r="A29" s="116">
        <v>4000</v>
      </c>
      <c r="B29" s="99" t="s">
        <v>149</v>
      </c>
      <c r="C29" s="57"/>
      <c r="D29" s="78" t="str">
        <f>IF(own_type,IF(owner_hours&gt;0,(owner_net+budget)/D27,owner_net/D27),"-")</f>
        <v>-</v>
      </c>
      <c r="E29" s="89" t="s">
        <v>153</v>
      </c>
      <c r="F29" s="59"/>
      <c r="G29" s="97">
        <v>0.085</v>
      </c>
      <c r="H29" s="73" t="s">
        <v>79</v>
      </c>
    </row>
    <row r="30" spans="1:8" ht="15.75" customHeight="1" thickBot="1">
      <c r="A30" s="111">
        <v>15000</v>
      </c>
      <c r="B30" s="36" t="s">
        <v>155</v>
      </c>
      <c r="D30" s="40" t="str">
        <f>IF(owner_hours&gt;0,-D28/owner_hours,"N/A")</f>
        <v>N/A</v>
      </c>
      <c r="E30" s="91" t="s">
        <v>112</v>
      </c>
      <c r="G30" s="71">
        <f>-PMT(G29/12,G28*12,(A5-G16-down),0,1)*12</f>
        <v>0</v>
      </c>
      <c r="H30" s="72" t="s">
        <v>88</v>
      </c>
    </row>
    <row r="31" spans="1:4" ht="15.75" customHeight="1">
      <c r="A31" s="84">
        <f>budget-member_net</f>
        <v>250</v>
      </c>
      <c r="B31" s="86"/>
      <c r="D31" s="76" t="b">
        <f>(price&gt;down)</f>
        <v>0</v>
      </c>
    </row>
    <row r="32" spans="1:7" ht="15.75" customHeight="1">
      <c r="A32" s="84">
        <v>1</v>
      </c>
      <c r="B32" s="125" t="s">
        <v>170</v>
      </c>
      <c r="C32" s="1"/>
      <c r="D32" s="69">
        <f>budget+owner_net</f>
        <v>4000</v>
      </c>
      <c r="G32" s="41"/>
    </row>
    <row r="33" spans="1:4" ht="15.75" customHeight="1">
      <c r="A33" s="8"/>
      <c r="B33" s="5"/>
      <c r="D33" s="69"/>
    </row>
    <row r="34" ht="15.75" customHeight="1"/>
    <row r="35" ht="15.75" customHeight="1"/>
    <row r="36" ht="15.75" customHeight="1"/>
    <row r="37" ht="15.75" customHeight="1"/>
    <row r="38" spans="7:8" ht="15.75" customHeight="1">
      <c r="G38" s="5"/>
      <c r="H38" s="6"/>
    </row>
  </sheetData>
  <sheetProtection sheet="1" objects="1" scenarios="1"/>
  <mergeCells count="8">
    <mergeCell ref="A3:B3"/>
    <mergeCell ref="G3:H3"/>
    <mergeCell ref="D1:H1"/>
    <mergeCell ref="D3:E3"/>
    <mergeCell ref="G26:H26"/>
    <mergeCell ref="G12:H12"/>
    <mergeCell ref="D26:E26"/>
    <mergeCell ref="D13:E13"/>
  </mergeCells>
  <conditionalFormatting sqref="G24">
    <cfRule type="cellIs" priority="1" dxfId="0" operator="greaterThanOrEqual" stopIfTrue="1">
      <formula>0</formula>
    </cfRule>
  </conditionalFormatting>
  <conditionalFormatting sqref="D29:D30 E27:E30 D27">
    <cfRule type="expression" priority="2" dxfId="1" stopIfTrue="1">
      <formula>($I$3=1)</formula>
    </cfRule>
  </conditionalFormatting>
  <conditionalFormatting sqref="D22:E22 D15:E17">
    <cfRule type="expression" priority="3" dxfId="2" stopIfTrue="1">
      <formula>($I$3=2)</formula>
    </cfRule>
  </conditionalFormatting>
  <conditionalFormatting sqref="D23">
    <cfRule type="cellIs" priority="4" dxfId="0" operator="lessThanOrEqual" stopIfTrue="1">
      <formula>$A$29</formula>
    </cfRule>
  </conditionalFormatting>
  <conditionalFormatting sqref="D9:E9">
    <cfRule type="expression" priority="5" dxfId="3" stopIfTrue="1">
      <formula>($I3-1)=1</formula>
    </cfRule>
  </conditionalFormatting>
  <conditionalFormatting sqref="D8:E8">
    <cfRule type="expression" priority="6" dxfId="3" stopIfTrue="1">
      <formula>($I3-1)=0</formula>
    </cfRule>
  </conditionalFormatting>
  <conditionalFormatting sqref="D26:E26">
    <cfRule type="expression" priority="7" dxfId="1" stopIfTrue="1">
      <formula>(own_type)=0</formula>
    </cfRule>
  </conditionalFormatting>
  <conditionalFormatting sqref="D10:E11">
    <cfRule type="expression" priority="8" dxfId="1" stopIfTrue="1">
      <formula>($I$3=1)</formula>
    </cfRule>
  </conditionalFormatting>
  <conditionalFormatting sqref="G27:H30">
    <cfRule type="expression" priority="9" dxfId="4" stopIfTrue="1">
      <formula>$G$27=0</formula>
    </cfRule>
  </conditionalFormatting>
  <conditionalFormatting sqref="A30:B30">
    <cfRule type="expression" priority="10" dxfId="1" stopIfTrue="1">
      <formula>dev</formula>
    </cfRule>
  </conditionalFormatting>
  <conditionalFormatting sqref="D28">
    <cfRule type="expression" priority="11" dxfId="1" stopIfTrue="1">
      <formula>($I$3=1)</formula>
    </cfRule>
    <cfRule type="cellIs" priority="12" dxfId="0" operator="greaterThan" stopIfTrue="1">
      <formula>0</formula>
    </cfRule>
    <cfRule type="cellIs" priority="13" dxfId="5" operator="between" stopIfTrue="1">
      <formula>0</formula>
      <formula>-$A$29</formula>
    </cfRule>
  </conditionalFormatting>
  <conditionalFormatting sqref="A6">
    <cfRule type="cellIs" priority="14" dxfId="6" operator="lessThan" stopIfTrue="1">
      <formula>$A$5-$G$16</formula>
    </cfRule>
    <cfRule type="cellIs" priority="15" dxfId="7" operator="greaterThan" stopIfTrue="1">
      <formula>$A$5+$G$27</formula>
    </cfRule>
  </conditionalFormatting>
  <conditionalFormatting sqref="D5">
    <cfRule type="expression" priority="16" dxfId="6" stopIfTrue="1">
      <formula>$D$5&lt;&gt;INT(D5)</formula>
    </cfRule>
  </conditionalFormatting>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Hoffler</dc:creator>
  <cp:keywords/>
  <dc:description/>
  <cp:lastModifiedBy>Haley Hoffler</cp:lastModifiedBy>
  <cp:lastPrinted>2002-02-19T23:52:57Z</cp:lastPrinted>
  <dcterms:created xsi:type="dcterms:W3CDTF">2001-04-18T16:39:41Z</dcterms:created>
  <dcterms:modified xsi:type="dcterms:W3CDTF">2002-01-16T19:49:06Z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